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ateusz Ślęzak\Desktop\Uchwały zwalniające na 2025\Uchwały 2025\"/>
    </mc:Choice>
  </mc:AlternateContent>
  <xr:revisionPtr revIDLastSave="0" documentId="13_ncr:1_{8346C64B-FDEF-4B23-A995-0C2C3F012CE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DATKI" sheetId="1" r:id="rId1"/>
    <sheet name="TRANSPORT stawki" sheetId="4" r:id="rId2"/>
    <sheet name="TRANSPORT szacowany dochód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2" l="1"/>
  <c r="K6" i="2" l="1"/>
  <c r="I6" i="2"/>
  <c r="K17" i="1"/>
  <c r="H47" i="4" l="1"/>
  <c r="G40" i="2"/>
  <c r="G38" i="2"/>
  <c r="G36" i="2"/>
  <c r="I35" i="2"/>
  <c r="G35" i="2"/>
  <c r="G33" i="2"/>
  <c r="H33" i="2" s="1"/>
  <c r="I33" i="2"/>
  <c r="J33" i="2" s="1"/>
  <c r="K33" i="2"/>
  <c r="L33" i="2" s="1"/>
  <c r="K32" i="2"/>
  <c r="G32" i="2"/>
  <c r="G31" i="2"/>
  <c r="K31" i="2"/>
  <c r="L31" i="2" s="1"/>
  <c r="K30" i="2"/>
  <c r="L30" i="2" s="1"/>
  <c r="I30" i="2"/>
  <c r="G22" i="2"/>
  <c r="G20" i="2"/>
  <c r="G19" i="2"/>
  <c r="G18" i="2"/>
  <c r="H18" i="2" s="1"/>
  <c r="I18" i="2"/>
  <c r="J18" i="2" s="1"/>
  <c r="I17" i="2"/>
  <c r="G17" i="2"/>
  <c r="G15" i="2"/>
  <c r="K15" i="2"/>
  <c r="L15" i="2" s="1"/>
  <c r="I15" i="2"/>
  <c r="L13" i="2"/>
  <c r="K12" i="2"/>
  <c r="L12" i="2" s="1"/>
  <c r="K11" i="2"/>
  <c r="L11" i="2" s="1"/>
  <c r="K10" i="2"/>
  <c r="L10" i="2" s="1"/>
  <c r="I13" i="2"/>
  <c r="I11" i="2"/>
  <c r="J11" i="2" s="1"/>
  <c r="I10" i="2"/>
  <c r="I8" i="2"/>
  <c r="G13" i="2"/>
  <c r="G12" i="2"/>
  <c r="G11" i="2"/>
  <c r="H11" i="2" s="1"/>
  <c r="G10" i="2"/>
  <c r="G9" i="2"/>
  <c r="G30" i="2"/>
  <c r="G8" i="2"/>
  <c r="D24" i="2"/>
  <c r="H38" i="4"/>
  <c r="H51" i="4" s="1"/>
  <c r="G38" i="4"/>
  <c r="G51" i="4" s="1"/>
  <c r="F38" i="4"/>
  <c r="F51" i="4" s="1"/>
  <c r="E38" i="4"/>
  <c r="E51" i="4" s="1"/>
  <c r="E64" i="4"/>
  <c r="I19" i="2" s="1"/>
  <c r="F64" i="4"/>
  <c r="I20" i="2" s="1"/>
  <c r="J20" i="2" s="1"/>
  <c r="G64" i="4"/>
  <c r="K19" i="2" s="1"/>
  <c r="L19" i="2" s="1"/>
  <c r="H64" i="4"/>
  <c r="K20" i="2" s="1"/>
  <c r="L20" i="2" s="1"/>
  <c r="H63" i="4"/>
  <c r="K18" i="2" s="1"/>
  <c r="L18" i="2" s="1"/>
  <c r="G63" i="4"/>
  <c r="F63" i="4"/>
  <c r="E63" i="4"/>
  <c r="H61" i="4"/>
  <c r="G61" i="4"/>
  <c r="F61" i="4"/>
  <c r="E61" i="4"/>
  <c r="E59" i="4"/>
  <c r="F59" i="4"/>
  <c r="G59" i="4"/>
  <c r="K17" i="2" s="1"/>
  <c r="L17" i="2" s="1"/>
  <c r="H59" i="4"/>
  <c r="E60" i="4"/>
  <c r="F60" i="4"/>
  <c r="G60" i="4"/>
  <c r="H60" i="4"/>
  <c r="H58" i="4"/>
  <c r="G58" i="4"/>
  <c r="K36" i="2" s="1"/>
  <c r="L36" i="2" s="1"/>
  <c r="F58" i="4"/>
  <c r="E58" i="4"/>
  <c r="I36" i="2" s="1"/>
  <c r="E55" i="4"/>
  <c r="F55" i="4"/>
  <c r="G55" i="4"/>
  <c r="H55" i="4"/>
  <c r="E56" i="4"/>
  <c r="F56" i="4"/>
  <c r="G56" i="4"/>
  <c r="H56" i="4"/>
  <c r="H54" i="4"/>
  <c r="G54" i="4"/>
  <c r="F54" i="4"/>
  <c r="E54" i="4"/>
  <c r="G47" i="4"/>
  <c r="F47" i="4"/>
  <c r="E47" i="4"/>
  <c r="H46" i="4"/>
  <c r="G46" i="4"/>
  <c r="F46" i="4"/>
  <c r="E46" i="4"/>
  <c r="E42" i="4"/>
  <c r="F42" i="4"/>
  <c r="G42" i="4"/>
  <c r="H42" i="4"/>
  <c r="E43" i="4"/>
  <c r="F43" i="4"/>
  <c r="G43" i="4"/>
  <c r="H43" i="4"/>
  <c r="E44" i="4"/>
  <c r="I38" i="2" s="1"/>
  <c r="J38" i="2" s="1"/>
  <c r="F44" i="4"/>
  <c r="G44" i="4"/>
  <c r="K38" i="2" s="1"/>
  <c r="L38" i="2" s="1"/>
  <c r="H44" i="4"/>
  <c r="H41" i="4"/>
  <c r="G41" i="4"/>
  <c r="F41" i="4"/>
  <c r="E41" i="4"/>
  <c r="E31" i="4"/>
  <c r="F31" i="4"/>
  <c r="G31" i="4"/>
  <c r="H31" i="4"/>
  <c r="E32" i="4"/>
  <c r="F32" i="4"/>
  <c r="G32" i="4"/>
  <c r="H32" i="4"/>
  <c r="E33" i="4"/>
  <c r="F33" i="4"/>
  <c r="G33" i="4"/>
  <c r="H33" i="4"/>
  <c r="E34" i="4"/>
  <c r="F34" i="4"/>
  <c r="G34" i="4"/>
  <c r="H34" i="4"/>
  <c r="H30" i="4"/>
  <c r="G30" i="4"/>
  <c r="F30" i="4"/>
  <c r="E30" i="4"/>
  <c r="E24" i="4"/>
  <c r="F24" i="4"/>
  <c r="G24" i="4"/>
  <c r="H24" i="4"/>
  <c r="E25" i="4"/>
  <c r="F25" i="4"/>
  <c r="G25" i="4"/>
  <c r="H25" i="4"/>
  <c r="E26" i="4"/>
  <c r="F26" i="4"/>
  <c r="G26" i="4"/>
  <c r="H26" i="4"/>
  <c r="E27" i="4"/>
  <c r="F27" i="4"/>
  <c r="G27" i="4"/>
  <c r="H27" i="4"/>
  <c r="E28" i="4"/>
  <c r="F28" i="4"/>
  <c r="I12" i="2" s="1"/>
  <c r="G28" i="4"/>
  <c r="H28" i="4"/>
  <c r="H23" i="4"/>
  <c r="G23" i="4"/>
  <c r="F23" i="4"/>
  <c r="E23" i="4"/>
  <c r="E19" i="4"/>
  <c r="F19" i="4"/>
  <c r="G19" i="4"/>
  <c r="H19" i="4"/>
  <c r="E20" i="4"/>
  <c r="F20" i="4"/>
  <c r="G20" i="4"/>
  <c r="H20" i="4"/>
  <c r="E21" i="4"/>
  <c r="I9" i="2" s="1"/>
  <c r="F21" i="4"/>
  <c r="G21" i="4"/>
  <c r="K9" i="2" s="1"/>
  <c r="L9" i="2" s="1"/>
  <c r="H21" i="4"/>
  <c r="H18" i="4"/>
  <c r="F18" i="4"/>
  <c r="G18" i="4"/>
  <c r="E18" i="4"/>
  <c r="F6" i="4"/>
  <c r="K8" i="2" s="1"/>
  <c r="L8" i="2" s="1"/>
  <c r="F7" i="4"/>
  <c r="F8" i="4"/>
  <c r="F9" i="4"/>
  <c r="K35" i="2" s="1"/>
  <c r="L35" i="2" s="1"/>
  <c r="F10" i="4"/>
  <c r="F11" i="4"/>
  <c r="K22" i="2" s="1"/>
  <c r="L22" i="2" s="1"/>
  <c r="F5" i="4"/>
  <c r="E6" i="4"/>
  <c r="E7" i="4"/>
  <c r="I31" i="2" s="1"/>
  <c r="E8" i="4"/>
  <c r="E9" i="4"/>
  <c r="E10" i="4"/>
  <c r="E11" i="4"/>
  <c r="I40" i="2" s="1"/>
  <c r="E5" i="4"/>
  <c r="D20" i="1"/>
  <c r="D19" i="1"/>
  <c r="D17" i="1"/>
  <c r="L17" i="1" s="1"/>
  <c r="D16" i="1"/>
  <c r="D13" i="1"/>
  <c r="D12" i="1"/>
  <c r="D11" i="1"/>
  <c r="D10" i="1"/>
  <c r="K20" i="1"/>
  <c r="K56" i="1" s="1"/>
  <c r="K21" i="1"/>
  <c r="K57" i="1" s="1"/>
  <c r="K22" i="1"/>
  <c r="L22" i="1" s="1"/>
  <c r="K19" i="1"/>
  <c r="K11" i="1"/>
  <c r="K12" i="1"/>
  <c r="K13" i="1"/>
  <c r="K14" i="1"/>
  <c r="K10" i="1"/>
  <c r="I20" i="1"/>
  <c r="I56" i="1" s="1"/>
  <c r="I21" i="1"/>
  <c r="I57" i="1" s="1"/>
  <c r="I22" i="1"/>
  <c r="I79" i="1" s="1"/>
  <c r="I19" i="1"/>
  <c r="I76" i="1" s="1"/>
  <c r="I11" i="1"/>
  <c r="I12" i="1"/>
  <c r="I13" i="1"/>
  <c r="I14" i="1"/>
  <c r="I10" i="1"/>
  <c r="K52" i="1"/>
  <c r="E53" i="1"/>
  <c r="E52" i="1"/>
  <c r="E50" i="1"/>
  <c r="E49" i="1"/>
  <c r="F49" i="1" s="1"/>
  <c r="E48" i="1"/>
  <c r="E47" i="1"/>
  <c r="E46" i="1"/>
  <c r="K53" i="1"/>
  <c r="K74" i="1" s="1"/>
  <c r="L74" i="1" s="1"/>
  <c r="F33" i="2"/>
  <c r="D28" i="2"/>
  <c r="E28" i="2"/>
  <c r="F28" i="2"/>
  <c r="G28" i="2"/>
  <c r="H28" i="2"/>
  <c r="I28" i="2"/>
  <c r="J28" i="2"/>
  <c r="K28" i="2"/>
  <c r="L28" i="2"/>
  <c r="C28" i="2"/>
  <c r="F11" i="2"/>
  <c r="H20" i="2"/>
  <c r="F20" i="2"/>
  <c r="D77" i="1"/>
  <c r="D56" i="1"/>
  <c r="D76" i="1"/>
  <c r="D73" i="1"/>
  <c r="D70" i="1"/>
  <c r="D69" i="1"/>
  <c r="D68" i="1"/>
  <c r="D67" i="1"/>
  <c r="D55" i="1"/>
  <c r="D53" i="1"/>
  <c r="D52" i="1"/>
  <c r="D47" i="1"/>
  <c r="D48" i="1"/>
  <c r="D46" i="1"/>
  <c r="D65" i="1"/>
  <c r="L44" i="1"/>
  <c r="L65" i="1" s="1"/>
  <c r="K44" i="1"/>
  <c r="K65" i="1" s="1"/>
  <c r="J44" i="1"/>
  <c r="J65" i="1" s="1"/>
  <c r="I44" i="1"/>
  <c r="I65" i="1" s="1"/>
  <c r="H44" i="1"/>
  <c r="H65" i="1" s="1"/>
  <c r="G44" i="1"/>
  <c r="G65" i="1" s="1"/>
  <c r="F44" i="1"/>
  <c r="F65" i="1" s="1"/>
  <c r="E44" i="1"/>
  <c r="E65" i="1" s="1"/>
  <c r="D44" i="1"/>
  <c r="I74" i="1"/>
  <c r="J74" i="1" s="1"/>
  <c r="I73" i="1"/>
  <c r="I53" i="1"/>
  <c r="I52" i="1"/>
  <c r="G77" i="1"/>
  <c r="G78" i="1"/>
  <c r="G79" i="1"/>
  <c r="G76" i="1"/>
  <c r="G74" i="1"/>
  <c r="H74" i="1" s="1"/>
  <c r="G73" i="1"/>
  <c r="G68" i="1"/>
  <c r="G69" i="1"/>
  <c r="H69" i="1" s="1"/>
  <c r="G70" i="1"/>
  <c r="G71" i="1"/>
  <c r="G67" i="1"/>
  <c r="G56" i="1"/>
  <c r="G57" i="1"/>
  <c r="G58" i="1"/>
  <c r="G55" i="1"/>
  <c r="G53" i="1"/>
  <c r="G52" i="1"/>
  <c r="G47" i="1"/>
  <c r="G48" i="1"/>
  <c r="G49" i="1"/>
  <c r="H49" i="1" s="1"/>
  <c r="G50" i="1"/>
  <c r="G46" i="1"/>
  <c r="E77" i="1"/>
  <c r="E78" i="1"/>
  <c r="E79" i="1"/>
  <c r="E76" i="1"/>
  <c r="E74" i="1"/>
  <c r="F74" i="1" s="1"/>
  <c r="E73" i="1"/>
  <c r="E56" i="1"/>
  <c r="E57" i="1"/>
  <c r="E58" i="1"/>
  <c r="E55" i="1"/>
  <c r="D42" i="2"/>
  <c r="F38" i="2"/>
  <c r="H38" i="2"/>
  <c r="F18" i="2"/>
  <c r="K40" i="2" l="1"/>
  <c r="L40" i="2" s="1"/>
  <c r="I32" i="2"/>
  <c r="I22" i="2"/>
  <c r="J22" i="2" s="1"/>
  <c r="L42" i="2"/>
  <c r="L24" i="2"/>
  <c r="L19" i="1"/>
  <c r="F76" i="1"/>
  <c r="H55" i="1"/>
  <c r="L53" i="1"/>
  <c r="L52" i="1"/>
  <c r="K73" i="1"/>
  <c r="L73" i="1" s="1"/>
  <c r="L16" i="1"/>
  <c r="L20" i="1"/>
  <c r="L21" i="1"/>
  <c r="K78" i="1"/>
  <c r="L78" i="1" s="1"/>
  <c r="L57" i="1"/>
  <c r="K77" i="1"/>
  <c r="L77" i="1" s="1"/>
  <c r="L56" i="1"/>
  <c r="K55" i="1"/>
  <c r="K58" i="1"/>
  <c r="E67" i="1"/>
  <c r="F67" i="1" s="1"/>
  <c r="E71" i="1"/>
  <c r="L11" i="1"/>
  <c r="E70" i="1"/>
  <c r="F70" i="1" s="1"/>
  <c r="E69" i="1"/>
  <c r="F69" i="1" s="1"/>
  <c r="E68" i="1"/>
  <c r="F68" i="1" s="1"/>
  <c r="I67" i="1"/>
  <c r="J67" i="1" s="1"/>
  <c r="I71" i="1"/>
  <c r="J71" i="1" s="1"/>
  <c r="I70" i="1"/>
  <c r="J70" i="1" s="1"/>
  <c r="I69" i="1"/>
  <c r="J69" i="1" s="1"/>
  <c r="I68" i="1"/>
  <c r="J68" i="1" s="1"/>
  <c r="K47" i="1"/>
  <c r="I58" i="1"/>
  <c r="J53" i="1"/>
  <c r="I77" i="1"/>
  <c r="J77" i="1" s="1"/>
  <c r="J76" i="1"/>
  <c r="F47" i="1"/>
  <c r="F52" i="1"/>
  <c r="F53" i="1"/>
  <c r="F55" i="1"/>
  <c r="F48" i="1"/>
  <c r="H56" i="1"/>
  <c r="I55" i="1"/>
  <c r="J55" i="1" s="1"/>
  <c r="F56" i="1"/>
  <c r="J56" i="1"/>
  <c r="H48" i="1"/>
  <c r="H47" i="1"/>
  <c r="H52" i="1"/>
  <c r="H53" i="1"/>
  <c r="J52" i="1"/>
  <c r="H68" i="1"/>
  <c r="H67" i="1"/>
  <c r="J73" i="1"/>
  <c r="F77" i="1"/>
  <c r="H77" i="1"/>
  <c r="H76" i="1"/>
  <c r="F73" i="1"/>
  <c r="H73" i="1"/>
  <c r="H70" i="1"/>
  <c r="F46" i="1"/>
  <c r="H46" i="1"/>
  <c r="I78" i="1"/>
  <c r="J9" i="2"/>
  <c r="H9" i="2"/>
  <c r="F9" i="2"/>
  <c r="H31" i="2"/>
  <c r="H35" i="2"/>
  <c r="H36" i="2"/>
  <c r="H40" i="2"/>
  <c r="H30" i="2"/>
  <c r="H10" i="2"/>
  <c r="H12" i="2"/>
  <c r="H13" i="2"/>
  <c r="H15" i="2"/>
  <c r="H17" i="2"/>
  <c r="H19" i="2"/>
  <c r="H22" i="2"/>
  <c r="H8" i="2"/>
  <c r="F8" i="2"/>
  <c r="L58" i="1" l="1"/>
  <c r="K79" i="1"/>
  <c r="L79" i="1" s="1"/>
  <c r="K76" i="1"/>
  <c r="L76" i="1" s="1"/>
  <c r="L55" i="1"/>
  <c r="I46" i="1"/>
  <c r="J46" i="1" s="1"/>
  <c r="K48" i="1"/>
  <c r="L12" i="1"/>
  <c r="I47" i="1"/>
  <c r="J47" i="1" s="1"/>
  <c r="I48" i="1"/>
  <c r="J48" i="1" s="1"/>
  <c r="K49" i="1"/>
  <c r="L13" i="1"/>
  <c r="I49" i="1"/>
  <c r="J49" i="1" s="1"/>
  <c r="K50" i="1"/>
  <c r="L14" i="1"/>
  <c r="I50" i="1"/>
  <c r="J50" i="1" s="1"/>
  <c r="K46" i="1"/>
  <c r="L10" i="1"/>
  <c r="F60" i="1"/>
  <c r="L47" i="1"/>
  <c r="K68" i="1"/>
  <c r="L68" i="1" s="1"/>
  <c r="H81" i="1"/>
  <c r="H60" i="1"/>
  <c r="F81" i="1"/>
  <c r="J81" i="1"/>
  <c r="J14" i="1"/>
  <c r="J60" i="1" l="1"/>
  <c r="J62" i="1" s="1"/>
  <c r="L48" i="1"/>
  <c r="K69" i="1"/>
  <c r="L69" i="1" s="1"/>
  <c r="L24" i="1"/>
  <c r="K67" i="1"/>
  <c r="L67" i="1" s="1"/>
  <c r="L46" i="1"/>
  <c r="L50" i="1"/>
  <c r="K71" i="1"/>
  <c r="L71" i="1" s="1"/>
  <c r="L49" i="1"/>
  <c r="K70" i="1"/>
  <c r="L70" i="1" s="1"/>
  <c r="J83" i="1"/>
  <c r="J40" i="2"/>
  <c r="F40" i="2"/>
  <c r="J36" i="2"/>
  <c r="F36" i="2"/>
  <c r="J35" i="2"/>
  <c r="F35" i="2"/>
  <c r="J31" i="2"/>
  <c r="F31" i="2"/>
  <c r="J30" i="2"/>
  <c r="F30" i="2"/>
  <c r="F22" i="2"/>
  <c r="J19" i="2"/>
  <c r="F19" i="2"/>
  <c r="J17" i="2"/>
  <c r="F17" i="2"/>
  <c r="J15" i="2"/>
  <c r="F15" i="2"/>
  <c r="J13" i="2"/>
  <c r="F13" i="2"/>
  <c r="J12" i="2"/>
  <c r="F12" i="2"/>
  <c r="J10" i="2"/>
  <c r="F10" i="2"/>
  <c r="J8" i="2"/>
  <c r="L81" i="1" l="1"/>
  <c r="L83" i="1" s="1"/>
  <c r="L60" i="1"/>
  <c r="L62" i="1" s="1"/>
  <c r="J24" i="2"/>
  <c r="H24" i="2"/>
  <c r="H42" i="2"/>
  <c r="F42" i="2"/>
  <c r="L44" i="2" s="1"/>
  <c r="J42" i="2"/>
  <c r="F24" i="2"/>
  <c r="L26" i="2" s="1"/>
  <c r="J20" i="1"/>
  <c r="J19" i="1"/>
  <c r="J16" i="1"/>
  <c r="J13" i="1"/>
  <c r="H13" i="1"/>
  <c r="F13" i="1"/>
  <c r="J12" i="1"/>
  <c r="H11" i="1"/>
  <c r="J10" i="1"/>
  <c r="J17" i="1"/>
  <c r="H17" i="1"/>
  <c r="F17" i="1"/>
  <c r="K44" i="2" l="1"/>
  <c r="K26" i="2"/>
  <c r="F12" i="1"/>
  <c r="H12" i="1"/>
  <c r="F10" i="1"/>
  <c r="H19" i="1"/>
  <c r="F20" i="1"/>
  <c r="H10" i="1"/>
  <c r="H20" i="1"/>
  <c r="F19" i="1"/>
  <c r="F11" i="1"/>
  <c r="F16" i="1"/>
  <c r="J11" i="1"/>
  <c r="J24" i="1" s="1"/>
  <c r="H16" i="1"/>
  <c r="F24" i="1" l="1"/>
  <c r="H24" i="1"/>
  <c r="J26" i="1" l="1"/>
  <c r="L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Mateusz Ślęzak</author>
  </authors>
  <commentList>
    <comment ref="O8" authorId="0" shapeId="0" xr:uid="{588F3B30-9A3C-4D4C-9E60-AF516D39871C}">
      <text>
        <r>
          <rPr>
            <b/>
            <sz val="9"/>
            <color indexed="81"/>
            <rFont val="Tahoma"/>
            <family val="2"/>
            <charset val="238"/>
          </rPr>
          <t>Mateusz Ślęzak: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6"/>
            <color indexed="81"/>
            <rFont val="Tahoma"/>
            <family val="2"/>
            <charset val="238"/>
          </rPr>
          <t>Wprowadź procent wzrostu podatku podając liczbę po przecinku. Np. wzrost o 5% - wpisz 1,05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Mateusz Ślęzak</author>
  </authors>
  <commentList>
    <comment ref="H4" authorId="0" shapeId="0" xr:uid="{9AFCAFEF-5A6D-4505-80EB-331FB382F510}">
      <text>
        <r>
          <rPr>
            <b/>
            <sz val="9"/>
            <color indexed="81"/>
            <rFont val="Tahoma"/>
            <family val="2"/>
            <charset val="238"/>
          </rPr>
          <t>Mateusz Ślęzak: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>Wprowadź procent wzrostu podatku podając liczbę po przecinku. Np. wzrost o 5% - wpisz 1,05</t>
        </r>
      </text>
    </comment>
    <comment ref="F34" authorId="0" shapeId="0" xr:uid="{ADCDA15D-CAC1-4828-88D3-64E094E885ED}">
      <text>
        <r>
          <rPr>
            <b/>
            <sz val="9"/>
            <color indexed="81"/>
            <rFont val="Tahoma"/>
            <family val="2"/>
            <charset val="238"/>
          </rPr>
          <t>Mateusz Ślęzak: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>Propozycja Wójta -na wniosek podatnika -zwiększenia tej konkretnej stawki o 5% (czyli nie na 4467 zł a na  4343 zł)</t>
        </r>
      </text>
    </comment>
  </commentList>
</comments>
</file>

<file path=xl/sharedStrings.xml><?xml version="1.0" encoding="utf-8"?>
<sst xmlns="http://schemas.openxmlformats.org/spreadsheetml/2006/main" count="200" uniqueCount="111">
  <si>
    <t>budynki</t>
  </si>
  <si>
    <t>mieszkalne</t>
  </si>
  <si>
    <t>działalność gosp.</t>
  </si>
  <si>
    <t>pozostałe</t>
  </si>
  <si>
    <t>świad. Zdrowotne</t>
  </si>
  <si>
    <t>budowle</t>
  </si>
  <si>
    <t>wyciągi</t>
  </si>
  <si>
    <t>grunty</t>
  </si>
  <si>
    <t>inny grunt</t>
  </si>
  <si>
    <t>z działalnością</t>
  </si>
  <si>
    <t>RAZEM</t>
  </si>
  <si>
    <t>powierzchnie/wartości</t>
  </si>
  <si>
    <t>os. Prawne</t>
  </si>
  <si>
    <t>os fizyczne</t>
  </si>
  <si>
    <t>Samochody ciężarowe</t>
  </si>
  <si>
    <t>5,5-9 ton</t>
  </si>
  <si>
    <t>9-12 ton</t>
  </si>
  <si>
    <t>nie mniej niż 15 ton (2 os pneumatyczne)</t>
  </si>
  <si>
    <t>nie mniej niż 15 ton (2 os zaw. inne)</t>
  </si>
  <si>
    <t>nie mniej niż 25 ton (3 os zaw. Inne)</t>
  </si>
  <si>
    <t>nie mniej niż 31 ton (4 os zaw. Inne)</t>
  </si>
  <si>
    <t>ciągnik siodłowy</t>
  </si>
  <si>
    <t>powyżej 36 ton (2 os zaw. Pneum)</t>
  </si>
  <si>
    <t>przyczepy i naczepy</t>
  </si>
  <si>
    <t>12-28 ton (2 os. Zaw. Pneum)</t>
  </si>
  <si>
    <t>28-33 tony (2 os. Zaw. Pneum)</t>
  </si>
  <si>
    <t>nie mniej niż 38 ton (3 os. Zaw. Pneum)</t>
  </si>
  <si>
    <t>autobusy</t>
  </si>
  <si>
    <t>wiecej i równe 22 miejsca</t>
  </si>
  <si>
    <t>7-12 ton</t>
  </si>
  <si>
    <t>pod wodami pow. Stojącymi</t>
  </si>
  <si>
    <t>pozostałe budynki</t>
  </si>
  <si>
    <t>niezbudowany, obszar rewitalizacji</t>
  </si>
  <si>
    <t>nie mniej niż</t>
  </si>
  <si>
    <t>mniej niż</t>
  </si>
  <si>
    <t>dwie osie</t>
  </si>
  <si>
    <t>trzy osie</t>
  </si>
  <si>
    <t>cztery osie i więcej</t>
  </si>
  <si>
    <t>Liczba osi i dopuszczalna masa całkowita (w tonach)</t>
  </si>
  <si>
    <t>Stawki podatku w złotych</t>
  </si>
  <si>
    <t>Stawki podatku od pojazdów
określonych  w § 1 pkt 2 uchwały
(SAMOCHODY CIĘŻAROWE)</t>
  </si>
  <si>
    <t>trzy osie i węcej</t>
  </si>
  <si>
    <t>Liczba osi i dopuszczalna masa całkowita zespołu pojazdów: naczepa/przyczepa + pojazd silnikowy (w tonach)</t>
  </si>
  <si>
    <t>Liczba osi i dopuszczalna masa całkowita zespołu pojazdów: ciągnik siodłowy + naczepa, ciągnik balastowy + przyczepa (w tonach)</t>
  </si>
  <si>
    <t>jedna oś</t>
  </si>
  <si>
    <t>trzy osie i więcej</t>
  </si>
  <si>
    <t>Stawki podatku od pojazdów
określonych  w § 1 pkt 4 uchwały
(CIĄGNIKI SIODŁOWE)</t>
  </si>
  <si>
    <t>Stawki podatku od pojazdów
określonych  w § 1 pkt 6 uchwały
(NACZEPY I PRZYCZEPY)</t>
  </si>
  <si>
    <t>przedmiot opodatkowania</t>
  </si>
  <si>
    <t>Powierzchnia w m2 / Wartości w zł</t>
  </si>
  <si>
    <t>związane z działalnością gospodarczą</t>
  </si>
  <si>
    <t>przeznaczone na świadczenia zdrowotne</t>
  </si>
  <si>
    <t>przeznaczone do obrotu kwalif. materiałem siewnym</t>
  </si>
  <si>
    <t>inne grunty</t>
  </si>
  <si>
    <t>X</t>
  </si>
  <si>
    <t>RAZEM PODATEK OD NIERUCHOMOŚCI OSÓB FIZYCZNYCH I PRAWNYCH</t>
  </si>
  <si>
    <t xml:space="preserve">powyżej 3,5 tony do 5,5 tony włącznie  </t>
  </si>
  <si>
    <t xml:space="preserve">powyżej 5,5 tony do 9 ton włącznie </t>
  </si>
  <si>
    <t xml:space="preserve">powyżej 9 ton i poniżej 12 ton </t>
  </si>
  <si>
    <t xml:space="preserve"> od 3,5 tony i poniżej 12 ton  </t>
  </si>
  <si>
    <t>ciągniki</t>
  </si>
  <si>
    <t>od 7 ton i poniżej 12 ton  (z wyjątkiem dz. rolniczej)</t>
  </si>
  <si>
    <t xml:space="preserve"> mniejszej niż 22 miejsca   </t>
  </si>
  <si>
    <t xml:space="preserve">równej lub większej niż 22 miejsca   </t>
  </si>
  <si>
    <t>sam. ciężarowe</t>
  </si>
  <si>
    <t>TRANSPORT - fizyczne</t>
  </si>
  <si>
    <t>OSOBY FIZYCZNE</t>
  </si>
  <si>
    <t>OSOBY PRAWNE</t>
  </si>
  <si>
    <t>WZROST PO ZMIANIE =</t>
  </si>
  <si>
    <t>powyżej 36 t (2 os zaw. Pneum)</t>
  </si>
  <si>
    <t>osoby prawne</t>
  </si>
  <si>
    <t>osby fizyczne</t>
  </si>
  <si>
    <t xml:space="preserve">RAZEM PODATEK OD NIERUCHOMOŚCI OSÓB FIZYCZNYCH </t>
  </si>
  <si>
    <t>RAZEM PODATEK OD NIERUCHOMOŚCI OSÓB  PRAWNYCH</t>
  </si>
  <si>
    <t>nie mniej niż 38 ton (3 os. Zaw. inne)</t>
  </si>
  <si>
    <t>nie mniej niż 23 t i mniej niż 25 t (3 os zaw. Inne)</t>
  </si>
  <si>
    <t>nie mniej niż 25 ton (3 os zaw. pneumatyczne)</t>
  </si>
  <si>
    <t>Stawka uchwalona na 2024 r.</t>
  </si>
  <si>
    <t>Szacowane dochody za 2024 r.</t>
  </si>
  <si>
    <t>Stawka maxymalna wg M.Finansów na 2025 r.</t>
  </si>
  <si>
    <t>Szacowane dochody wg stawek maxymalnych na 2025 r.</t>
  </si>
  <si>
    <t>PROGNOZA WZROSTU:</t>
  </si>
  <si>
    <t>na dzień 24.09.2024 r.</t>
  </si>
  <si>
    <t>stawka w 2024</t>
  </si>
  <si>
    <t>oś jezdna (osie jezdne) z zawieszeniem pneumatycznym lub zawieszeniem uznanym za równoważne - 2024</t>
  </si>
  <si>
    <t>inne systemy zawieszenia osi jezdnych - 2024</t>
  </si>
  <si>
    <t>max</t>
  </si>
  <si>
    <t>min</t>
  </si>
  <si>
    <t>ilość pojazdów w ewidencji na dzień 27.09.2024</t>
  </si>
  <si>
    <t>na dzień 27.09.2024 r.</t>
  </si>
  <si>
    <t>stawka 2024</t>
  </si>
  <si>
    <t>przewidywany dochód na 2024</t>
  </si>
  <si>
    <t>stawka max na 2025</t>
  </si>
  <si>
    <t>przewidywany dochód po stawce max na 2025</t>
  </si>
  <si>
    <t>12-36 t, 3 osie ( zaw. inne)</t>
  </si>
  <si>
    <t>nie mniej niż 25 ton (3 os zaw. inne)</t>
  </si>
  <si>
    <t>Propozycja Wójta Gminy na 2025 r. (wzrost o 5%)</t>
  </si>
  <si>
    <t>Szacowane dochody wg stawek zwiększonych o 5 %</t>
  </si>
  <si>
    <t>proponowana stawka na 2025 r. (wzrost o 8%)</t>
  </si>
  <si>
    <t>oś jezdna (osie jezdne) z zawieszeniem pneumatycznym lub zawieszeniem uznanym za równoważne - 2025 (wzrost o 8%)</t>
  </si>
  <si>
    <t>inne systemy zawieszenia osi jezdnych - 2025 (wzrost o 8%)</t>
  </si>
  <si>
    <t>PROJEKTY STAWEK - 2025 ROK</t>
  </si>
  <si>
    <t>PROJEKT ZWIĘKSZENIA STAWEK PODATKU OD NIERUCHOMOŚCI NA 2025 ROK</t>
  </si>
  <si>
    <t>Propozycja Rady Gminy na 2025 r. (wzrost o ...)</t>
  </si>
  <si>
    <t>Szacowane dochody wg stawek zwiększonych o  (wzrost o ...)</t>
  </si>
  <si>
    <t>PROJEKTY STAWEK 2025 ROK - szacowany dochód</t>
  </si>
  <si>
    <t>dochód po zwiększeniu</t>
  </si>
  <si>
    <t>proponowana stawka na 2025 r. (wzrost o ...)</t>
  </si>
  <si>
    <t>oś jezdna (osie jezdne) z zawieszeniem pneumatycznym lub zawieszeniem uznanym za równoważne - 2025 (wzrost o ...)</t>
  </si>
  <si>
    <t>inne systemy zawieszenia osi jezdnych - 2025 (wzrost o ...)</t>
  </si>
  <si>
    <t>STAWKI MINISTERIALNE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</si>
</sst>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_-;\-* #,##0_-;_-* &quot;-&quot;??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16"/>
      <color indexed="81"/>
      <name val="Tahom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0" fillId="4" borderId="1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9" xfId="0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4" fontId="11" fillId="5" borderId="1" xfId="0" applyNumberFormat="1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4" fillId="5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right" vertical="center"/>
    </xf>
    <xf numFmtId="4" fontId="4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4" fontId="12" fillId="0" borderId="0" xfId="0" applyNumberFormat="1" applyFont="1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0" xfId="0" applyFont="1"/>
    <xf numFmtId="0" fontId="4" fillId="0" borderId="1" xfId="0" applyFont="1" applyBorder="1"/>
    <xf numFmtId="4" fontId="4" fillId="0" borderId="1" xfId="0" applyNumberFormat="1" applyFont="1" applyBorder="1"/>
    <xf numFmtId="0" fontId="4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2" borderId="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vertical="center"/>
    </xf>
    <xf numFmtId="2" fontId="11" fillId="2" borderId="1" xfId="0" applyNumberFormat="1" applyFont="1" applyFill="1" applyBorder="1" applyAlignment="1">
      <alignment vertical="center"/>
    </xf>
    <xf numFmtId="2" fontId="11" fillId="2" borderId="1" xfId="0" applyNumberFormat="1" applyFont="1" applyFill="1" applyBorder="1" applyAlignment="1">
      <alignment horizontal="right" vertical="center"/>
    </xf>
    <xf numFmtId="4" fontId="11" fillId="0" borderId="1" xfId="0" applyNumberFormat="1" applyFont="1" applyBorder="1" applyAlignment="1">
      <alignment vertical="center"/>
    </xf>
    <xf numFmtId="0" fontId="0" fillId="0" borderId="7" xfId="0" applyBorder="1" applyAlignment="1">
      <alignment vertical="center" wrapText="1"/>
    </xf>
    <xf numFmtId="0" fontId="12" fillId="5" borderId="0" xfId="0" applyFont="1" applyFill="1" applyAlignment="1">
      <alignment vertical="center" wrapText="1"/>
    </xf>
    <xf numFmtId="0" fontId="0" fillId="3" borderId="0" xfId="0" applyFill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2" fontId="4" fillId="3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 wrapText="1"/>
    </xf>
    <xf numFmtId="4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0" fontId="15" fillId="3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0" fillId="7" borderId="9" xfId="0" applyFill="1" applyBorder="1" applyAlignment="1">
      <alignment vertical="center"/>
    </xf>
    <xf numFmtId="0" fontId="0" fillId="7" borderId="0" xfId="0" applyFill="1" applyAlignment="1">
      <alignment vertical="center" wrapText="1"/>
    </xf>
    <xf numFmtId="0" fontId="0" fillId="7" borderId="0" xfId="0" applyFill="1" applyAlignment="1">
      <alignment vertical="center"/>
    </xf>
    <xf numFmtId="0" fontId="0" fillId="7" borderId="10" xfId="0" applyFill="1" applyBorder="1" applyAlignment="1">
      <alignment vertical="center"/>
    </xf>
    <xf numFmtId="4" fontId="0" fillId="7" borderId="0" xfId="0" applyNumberFormat="1" applyFill="1" applyAlignment="1">
      <alignment vertical="center"/>
    </xf>
    <xf numFmtId="0" fontId="1" fillId="7" borderId="0" xfId="0" applyFont="1" applyFill="1" applyAlignment="1">
      <alignment vertical="center" wrapText="1"/>
    </xf>
    <xf numFmtId="2" fontId="0" fillId="7" borderId="0" xfId="0" applyNumberFormat="1" applyFill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0" fillId="6" borderId="0" xfId="0" applyFont="1" applyFill="1" applyAlignment="1">
      <alignment vertical="center"/>
    </xf>
    <xf numFmtId="4" fontId="4" fillId="6" borderId="0" xfId="0" applyNumberFormat="1" applyFont="1" applyFill="1" applyAlignment="1">
      <alignment vertical="center"/>
    </xf>
    <xf numFmtId="0" fontId="10" fillId="5" borderId="0" xfId="0" applyFont="1" applyFill="1" applyAlignment="1">
      <alignment vertical="center"/>
    </xf>
    <xf numFmtId="4" fontId="4" fillId="5" borderId="0" xfId="0" applyNumberFormat="1" applyFont="1" applyFill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3" fillId="5" borderId="1" xfId="0" applyFont="1" applyFill="1" applyBorder="1"/>
    <xf numFmtId="4" fontId="3" fillId="5" borderId="1" xfId="0" applyNumberFormat="1" applyFont="1" applyFill="1" applyBorder="1"/>
    <xf numFmtId="0" fontId="1" fillId="5" borderId="1" xfId="0" applyFont="1" applyFill="1" applyBorder="1" applyAlignment="1">
      <alignment wrapText="1"/>
    </xf>
    <xf numFmtId="0" fontId="10" fillId="5" borderId="0" xfId="0" applyFont="1" applyFill="1"/>
    <xf numFmtId="0" fontId="10" fillId="6" borderId="0" xfId="0" applyFont="1" applyFill="1"/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3" fillId="6" borderId="1" xfId="0" applyFont="1" applyFill="1" applyBorder="1"/>
    <xf numFmtId="4" fontId="3" fillId="6" borderId="1" xfId="0" applyNumberFormat="1" applyFont="1" applyFill="1" applyBorder="1"/>
    <xf numFmtId="4" fontId="11" fillId="6" borderId="1" xfId="0" applyNumberFormat="1" applyFont="1" applyFill="1" applyBorder="1"/>
    <xf numFmtId="4" fontId="11" fillId="6" borderId="1" xfId="0" applyNumberFormat="1" applyFont="1" applyFill="1" applyBorder="1" applyAlignment="1">
      <alignment horizontal="right" vertical="center"/>
    </xf>
    <xf numFmtId="4" fontId="4" fillId="6" borderId="1" xfId="0" applyNumberFormat="1" applyFont="1" applyFill="1" applyBorder="1"/>
    <xf numFmtId="0" fontId="1" fillId="6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4" fontId="4" fillId="3" borderId="0" xfId="0" applyNumberFormat="1" applyFont="1" applyFill="1" applyAlignment="1">
      <alignment vertical="center"/>
    </xf>
    <xf numFmtId="2" fontId="4" fillId="9" borderId="1" xfId="0" applyNumberFormat="1" applyFont="1" applyFill="1" applyBorder="1" applyAlignment="1">
      <alignment vertical="center"/>
    </xf>
    <xf numFmtId="4" fontId="3" fillId="9" borderId="1" xfId="0" applyNumberFormat="1" applyFont="1" applyFill="1" applyBorder="1" applyAlignment="1">
      <alignment vertical="center"/>
    </xf>
    <xf numFmtId="2" fontId="4" fillId="6" borderId="1" xfId="0" applyNumberFormat="1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0" fontId="12" fillId="10" borderId="0" xfId="0" applyFont="1" applyFill="1" applyAlignment="1">
      <alignment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 wrapText="1"/>
    </xf>
    <xf numFmtId="4" fontId="11" fillId="10" borderId="1" xfId="0" applyNumberFormat="1" applyFont="1" applyFill="1" applyBorder="1" applyAlignment="1">
      <alignment vertical="center"/>
    </xf>
    <xf numFmtId="0" fontId="4" fillId="10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right" vertical="center"/>
    </xf>
    <xf numFmtId="4" fontId="4" fillId="10" borderId="1" xfId="0" applyNumberFormat="1" applyFont="1" applyFill="1" applyBorder="1" applyAlignment="1">
      <alignment horizontal="right" vertical="center"/>
    </xf>
    <xf numFmtId="0" fontId="4" fillId="10" borderId="1" xfId="0" applyFont="1" applyFill="1" applyBorder="1" applyAlignment="1">
      <alignment horizontal="right" vertical="center"/>
    </xf>
    <xf numFmtId="0" fontId="0" fillId="9" borderId="1" xfId="0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/>
    </xf>
    <xf numFmtId="4" fontId="4" fillId="6" borderId="0" xfId="0" applyNumberFormat="1" applyFont="1" applyFill="1"/>
    <xf numFmtId="4" fontId="4" fillId="9" borderId="1" xfId="0" applyNumberFormat="1" applyFont="1" applyFill="1" applyBorder="1"/>
    <xf numFmtId="4" fontId="4" fillId="6" borderId="1" xfId="0" applyNumberFormat="1" applyFont="1" applyFill="1" applyBorder="1" applyAlignment="1">
      <alignment vertical="center"/>
    </xf>
    <xf numFmtId="4" fontId="4" fillId="9" borderId="0" xfId="0" applyNumberFormat="1" applyFont="1" applyFill="1"/>
    <xf numFmtId="0" fontId="0" fillId="11" borderId="7" xfId="0" applyFill="1" applyBorder="1" applyAlignment="1">
      <alignment vertical="center"/>
    </xf>
    <xf numFmtId="0" fontId="0" fillId="12" borderId="0" xfId="0" applyFill="1" applyAlignment="1">
      <alignment horizontal="center" vertical="center"/>
    </xf>
    <xf numFmtId="0" fontId="0" fillId="5" borderId="3" xfId="0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" fontId="10" fillId="9" borderId="1" xfId="0" applyNumberFormat="1" applyFont="1" applyFill="1" applyBorder="1" applyAlignment="1">
      <alignment horizontal="center" vertical="center"/>
    </xf>
    <xf numFmtId="0" fontId="10" fillId="13" borderId="0" xfId="0" applyFont="1" applyFill="1" applyAlignment="1">
      <alignment vertical="center"/>
    </xf>
    <xf numFmtId="4" fontId="4" fillId="13" borderId="0" xfId="0" applyNumberFormat="1" applyFont="1" applyFill="1" applyAlignment="1">
      <alignment vertical="center"/>
    </xf>
    <xf numFmtId="0" fontId="0" fillId="13" borderId="0" xfId="0" applyFill="1" applyAlignment="1">
      <alignment vertical="center"/>
    </xf>
    <xf numFmtId="0" fontId="3" fillId="0" borderId="1" xfId="0" applyFont="1" applyBorder="1" applyAlignment="1">
      <alignment vertical="center"/>
    </xf>
    <xf numFmtId="0" fontId="0" fillId="12" borderId="0" xfId="0" applyFill="1"/>
    <xf numFmtId="0" fontId="0" fillId="14" borderId="0" xfId="0" applyFill="1"/>
    <xf numFmtId="0" fontId="0" fillId="13" borderId="1" xfId="0" applyFill="1" applyBorder="1" applyAlignment="1">
      <alignment horizontal="left" vertical="center" wrapText="1"/>
    </xf>
    <xf numFmtId="0" fontId="3" fillId="13" borderId="1" xfId="0" applyFont="1" applyFill="1" applyBorder="1"/>
    <xf numFmtId="4" fontId="11" fillId="13" borderId="1" xfId="0" applyNumberFormat="1" applyFont="1" applyFill="1" applyBorder="1"/>
    <xf numFmtId="4" fontId="3" fillId="13" borderId="1" xfId="0" applyNumberFormat="1" applyFont="1" applyFill="1" applyBorder="1"/>
    <xf numFmtId="4" fontId="4" fillId="13" borderId="1" xfId="0" applyNumberFormat="1" applyFont="1" applyFill="1" applyBorder="1"/>
    <xf numFmtId="165" fontId="0" fillId="0" borderId="1" xfId="1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0" fillId="14" borderId="0" xfId="0" applyFill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 vertical="center" wrapText="1"/>
    </xf>
    <xf numFmtId="0" fontId="1" fillId="8" borderId="5" xfId="0" applyFont="1" applyFill="1" applyBorder="1" applyAlignment="1">
      <alignment horizontal="left" vertical="center" wrapText="1"/>
    </xf>
    <xf numFmtId="0" fontId="1" fillId="8" borderId="15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4" fontId="0" fillId="0" borderId="0" xfId="0" applyNumberFormat="1"/>
    <xf numFmtId="2" fontId="4" fillId="15" borderId="1" xfId="0" applyNumberFormat="1" applyFont="1" applyFill="1" applyBorder="1" applyAlignment="1">
      <alignment vertical="center"/>
    </xf>
    <xf numFmtId="2" fontId="11" fillId="15" borderId="1" xfId="0" applyNumberFormat="1" applyFont="1" applyFill="1" applyBorder="1" applyAlignment="1">
      <alignment vertical="center"/>
    </xf>
    <xf numFmtId="0" fontId="0" fillId="15" borderId="0" xfId="0" applyFill="1" applyAlignment="1">
      <alignment horizontal="center" vertical="center"/>
    </xf>
    <xf numFmtId="165" fontId="17" fillId="0" borderId="1" xfId="1" applyNumberFormat="1" applyFont="1" applyBorder="1" applyAlignment="1">
      <alignment horizontal="center" vertical="center"/>
    </xf>
    <xf numFmtId="0" fontId="17" fillId="0" borderId="0" xfId="0" applyFont="1"/>
    <xf numFmtId="0" fontId="0" fillId="15" borderId="0" xfId="0" applyFill="1"/>
    <xf numFmtId="0" fontId="1" fillId="15" borderId="1" xfId="0" applyFont="1" applyFill="1" applyBorder="1" applyAlignment="1">
      <alignment horizontal="center"/>
    </xf>
    <xf numFmtId="1" fontId="10" fillId="1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92"/>
  <sheetViews>
    <sheetView zoomScale="55" zoomScaleNormal="55" workbookViewId="0">
      <selection activeCell="R9" sqref="R9"/>
    </sheetView>
  </sheetViews>
  <sheetFormatPr defaultRowHeight="15" x14ac:dyDescent="0.25"/>
  <cols>
    <col min="1" max="1" width="9.140625" style="13"/>
    <col min="2" max="2" width="6.7109375" style="13" customWidth="1"/>
    <col min="3" max="3" width="29.140625" style="31" customWidth="1"/>
    <col min="4" max="4" width="20" style="13" customWidth="1"/>
    <col min="5" max="5" width="17" style="13" customWidth="1"/>
    <col min="6" max="6" width="22.5703125" style="13" customWidth="1"/>
    <col min="7" max="7" width="18.85546875" style="13" customWidth="1"/>
    <col min="8" max="8" width="21.85546875" style="13" customWidth="1"/>
    <col min="9" max="9" width="22.85546875" style="13" customWidth="1"/>
    <col min="10" max="10" width="25.140625" style="13" customWidth="1"/>
    <col min="11" max="11" width="21.42578125" style="13" customWidth="1"/>
    <col min="12" max="12" width="24.5703125" style="13" customWidth="1"/>
    <col min="13" max="13" width="23" style="13" customWidth="1"/>
    <col min="14" max="14" width="21.140625" style="13" customWidth="1"/>
    <col min="15" max="17" width="9.140625" style="13"/>
    <col min="18" max="18" width="10.5703125" style="13" bestFit="1" customWidth="1"/>
    <col min="19" max="16384" width="9.140625" style="13"/>
  </cols>
  <sheetData>
    <row r="1" spans="2:15" x14ac:dyDescent="0.25">
      <c r="C1" s="13"/>
    </row>
    <row r="4" spans="2:15" ht="26.25" x14ac:dyDescent="0.25">
      <c r="C4" s="172" t="s">
        <v>102</v>
      </c>
      <c r="D4" s="172"/>
      <c r="E4" s="172"/>
      <c r="F4" s="172"/>
      <c r="G4" s="172"/>
      <c r="H4" s="172"/>
      <c r="I4" s="172"/>
      <c r="J4" s="172"/>
      <c r="K4" s="172"/>
      <c r="L4" s="172"/>
    </row>
    <row r="5" spans="2:15" ht="15.75" thickBot="1" x14ac:dyDescent="0.3"/>
    <row r="6" spans="2:15" ht="18.75" x14ac:dyDescent="0.25">
      <c r="B6" s="15"/>
      <c r="C6" s="95" t="s">
        <v>82</v>
      </c>
      <c r="D6" s="149"/>
      <c r="E6" s="149"/>
      <c r="F6" s="16"/>
      <c r="G6" s="149"/>
      <c r="H6" s="16"/>
      <c r="I6" s="149"/>
      <c r="J6" s="16"/>
      <c r="K6" s="149"/>
      <c r="L6" s="16"/>
      <c r="M6" s="17"/>
    </row>
    <row r="7" spans="2:15" x14ac:dyDescent="0.25">
      <c r="B7" s="18"/>
      <c r="M7" s="19"/>
      <c r="N7" s="13" t="s">
        <v>81</v>
      </c>
    </row>
    <row r="8" spans="2:15" s="30" customFormat="1" ht="108.75" customHeight="1" x14ac:dyDescent="0.25">
      <c r="B8" s="26"/>
      <c r="C8" s="27" t="s">
        <v>48</v>
      </c>
      <c r="D8" s="27" t="s">
        <v>49</v>
      </c>
      <c r="E8" s="39" t="s">
        <v>77</v>
      </c>
      <c r="F8" s="28" t="s">
        <v>78</v>
      </c>
      <c r="G8" s="27" t="s">
        <v>79</v>
      </c>
      <c r="H8" s="28" t="s">
        <v>80</v>
      </c>
      <c r="I8" s="27" t="s">
        <v>96</v>
      </c>
      <c r="J8" s="28" t="s">
        <v>97</v>
      </c>
      <c r="K8" s="27" t="s">
        <v>103</v>
      </c>
      <c r="L8" s="28" t="s">
        <v>104</v>
      </c>
      <c r="M8" s="29"/>
      <c r="N8" s="150">
        <v>1.1000000000000001</v>
      </c>
      <c r="O8" s="208">
        <v>1</v>
      </c>
    </row>
    <row r="9" spans="2:15" ht="27" customHeight="1" x14ac:dyDescent="0.25">
      <c r="B9" s="18"/>
      <c r="C9" s="173" t="s">
        <v>0</v>
      </c>
      <c r="D9" s="174"/>
      <c r="E9" s="174"/>
      <c r="F9" s="174"/>
      <c r="G9" s="174"/>
      <c r="H9" s="174"/>
      <c r="I9" s="174"/>
      <c r="J9" s="174"/>
      <c r="K9" s="174"/>
      <c r="L9" s="175"/>
      <c r="M9" s="19"/>
    </row>
    <row r="10" spans="2:15" ht="18.75" x14ac:dyDescent="0.25">
      <c r="B10" s="18"/>
      <c r="C10" s="61" t="s">
        <v>1</v>
      </c>
      <c r="D10" s="40">
        <f>D31+F31</f>
        <v>166499.59</v>
      </c>
      <c r="E10" s="65">
        <v>1.08</v>
      </c>
      <c r="F10" s="62">
        <f>E10*D10</f>
        <v>179819.55720000001</v>
      </c>
      <c r="G10" s="40">
        <v>1.19</v>
      </c>
      <c r="H10" s="62">
        <f>G10*D10</f>
        <v>198134.51209999999</v>
      </c>
      <c r="I10" s="63">
        <f>IF(E10*$N$8&lt;=G10,E10*$N$8,G10)</f>
        <v>1.1880000000000002</v>
      </c>
      <c r="J10" s="62">
        <f>D10*I10</f>
        <v>197801.51292000004</v>
      </c>
      <c r="K10" s="207">
        <f>IF(E10*$O$8&lt;=G10,E10*$O$8,G10)</f>
        <v>1.08</v>
      </c>
      <c r="L10" s="62">
        <f>D10*K10</f>
        <v>179819.55720000001</v>
      </c>
      <c r="M10" s="19"/>
      <c r="N10" s="14"/>
    </row>
    <row r="11" spans="2:15" ht="37.5" x14ac:dyDescent="0.25">
      <c r="B11" s="18"/>
      <c r="C11" s="61" t="s">
        <v>50</v>
      </c>
      <c r="D11" s="40">
        <f>D32+F32</f>
        <v>17807.190000000002</v>
      </c>
      <c r="E11" s="65">
        <v>24.09</v>
      </c>
      <c r="F11" s="62">
        <f t="shared" ref="F11:F13" si="0">E11*D11</f>
        <v>428975.20710000006</v>
      </c>
      <c r="G11" s="40">
        <v>34</v>
      </c>
      <c r="H11" s="62">
        <f t="shared" ref="H11:H13" si="1">G11*D11</f>
        <v>605444.46000000008</v>
      </c>
      <c r="I11" s="63">
        <f t="shared" ref="I11:I14" si="2">IF(E11*$N$8&lt;=G11,E11*$N$8,G11)</f>
        <v>26.499000000000002</v>
      </c>
      <c r="J11" s="62">
        <f t="shared" ref="J11:J20" si="3">D11*I11</f>
        <v>471872.72781000013</v>
      </c>
      <c r="K11" s="207">
        <f t="shared" ref="K11:K14" si="4">IF(E11*$O$8&lt;=G11,E11*$O$8,G11)</f>
        <v>24.09</v>
      </c>
      <c r="L11" s="62">
        <f t="shared" ref="L11:L14" si="5">D11*K11</f>
        <v>428975.20710000006</v>
      </c>
      <c r="M11" s="19"/>
      <c r="N11" s="14"/>
    </row>
    <row r="12" spans="2:15" ht="18.75" x14ac:dyDescent="0.25">
      <c r="B12" s="18"/>
      <c r="C12" s="61" t="s">
        <v>31</v>
      </c>
      <c r="D12" s="40">
        <f>D33+F33</f>
        <v>21624.03</v>
      </c>
      <c r="E12" s="65">
        <v>6.57</v>
      </c>
      <c r="F12" s="62">
        <f t="shared" si="0"/>
        <v>142069.87710000001</v>
      </c>
      <c r="G12" s="40">
        <v>11.48</v>
      </c>
      <c r="H12" s="62">
        <f t="shared" si="1"/>
        <v>248243.86439999999</v>
      </c>
      <c r="I12" s="63">
        <f t="shared" si="2"/>
        <v>7.2270000000000012</v>
      </c>
      <c r="J12" s="62">
        <f t="shared" si="3"/>
        <v>156276.86481000003</v>
      </c>
      <c r="K12" s="207">
        <f t="shared" si="4"/>
        <v>6.57</v>
      </c>
      <c r="L12" s="62">
        <f t="shared" si="5"/>
        <v>142069.87710000001</v>
      </c>
      <c r="M12" s="19"/>
      <c r="N12" s="14"/>
    </row>
    <row r="13" spans="2:15" ht="37.5" x14ac:dyDescent="0.25">
      <c r="B13" s="18"/>
      <c r="C13" s="61" t="s">
        <v>51</v>
      </c>
      <c r="D13" s="40">
        <f>D34+F34</f>
        <v>1490.6</v>
      </c>
      <c r="E13" s="65">
        <v>6.1820000000000004</v>
      </c>
      <c r="F13" s="62">
        <f t="shared" si="0"/>
        <v>9214.8891999999996</v>
      </c>
      <c r="G13" s="40">
        <v>6.95</v>
      </c>
      <c r="H13" s="62">
        <f t="shared" si="1"/>
        <v>10359.67</v>
      </c>
      <c r="I13" s="63">
        <f t="shared" si="2"/>
        <v>6.8002000000000011</v>
      </c>
      <c r="J13" s="62">
        <f t="shared" si="3"/>
        <v>10136.378120000001</v>
      </c>
      <c r="K13" s="207">
        <f t="shared" si="4"/>
        <v>6.1820000000000004</v>
      </c>
      <c r="L13" s="62">
        <f t="shared" si="5"/>
        <v>9214.8891999999996</v>
      </c>
      <c r="M13" s="19"/>
      <c r="N13" s="14"/>
    </row>
    <row r="14" spans="2:15" ht="56.25" x14ac:dyDescent="0.25">
      <c r="B14" s="18"/>
      <c r="C14" s="61" t="s">
        <v>52</v>
      </c>
      <c r="D14" s="40">
        <v>0</v>
      </c>
      <c r="E14" s="65">
        <v>14.773000000000001</v>
      </c>
      <c r="F14" s="62">
        <v>0</v>
      </c>
      <c r="G14" s="40">
        <v>15.92</v>
      </c>
      <c r="H14" s="62">
        <v>0</v>
      </c>
      <c r="I14" s="63">
        <f t="shared" si="2"/>
        <v>15.92</v>
      </c>
      <c r="J14" s="62">
        <f t="shared" si="3"/>
        <v>0</v>
      </c>
      <c r="K14" s="207">
        <f t="shared" si="4"/>
        <v>14.773000000000001</v>
      </c>
      <c r="L14" s="62">
        <f t="shared" si="5"/>
        <v>0</v>
      </c>
      <c r="M14" s="19"/>
      <c r="N14" s="14"/>
    </row>
    <row r="15" spans="2:15" ht="27" customHeight="1" x14ac:dyDescent="0.25">
      <c r="B15" s="18"/>
      <c r="C15" s="176" t="s">
        <v>5</v>
      </c>
      <c r="D15" s="177"/>
      <c r="E15" s="177"/>
      <c r="F15" s="177"/>
      <c r="G15" s="177"/>
      <c r="H15" s="177"/>
      <c r="I15" s="177"/>
      <c r="J15" s="177"/>
      <c r="K15" s="177"/>
      <c r="L15" s="178"/>
      <c r="M15" s="19"/>
      <c r="N15" s="14"/>
    </row>
    <row r="16" spans="2:15" ht="18.75" x14ac:dyDescent="0.25">
      <c r="B16" s="18"/>
      <c r="C16" s="61" t="s">
        <v>5</v>
      </c>
      <c r="D16" s="40">
        <f>D37+F36</f>
        <v>27437083.329999998</v>
      </c>
      <c r="E16" s="65">
        <v>0.02</v>
      </c>
      <c r="F16" s="62">
        <f t="shared" ref="F16:F17" si="6">E16*D16</f>
        <v>548741.6666</v>
      </c>
      <c r="G16" s="40">
        <v>0.02</v>
      </c>
      <c r="H16" s="62">
        <f t="shared" ref="H16:H17" si="7">G16*D16</f>
        <v>548741.6666</v>
      </c>
      <c r="I16" s="63">
        <v>0.02</v>
      </c>
      <c r="J16" s="62">
        <f t="shared" si="3"/>
        <v>548741.6666</v>
      </c>
      <c r="K16" s="63">
        <v>0.02</v>
      </c>
      <c r="L16" s="62">
        <f>D16*K16</f>
        <v>548741.6666</v>
      </c>
      <c r="M16" s="19"/>
      <c r="N16" s="14"/>
    </row>
    <row r="17" spans="2:14" ht="18.75" x14ac:dyDescent="0.25">
      <c r="B17" s="18"/>
      <c r="C17" s="61" t="s">
        <v>6</v>
      </c>
      <c r="D17" s="40">
        <f>F37</f>
        <v>3592456.32</v>
      </c>
      <c r="E17" s="65">
        <v>0.01</v>
      </c>
      <c r="F17" s="62">
        <f t="shared" si="6"/>
        <v>35924.563199999997</v>
      </c>
      <c r="G17" s="40">
        <v>0.02</v>
      </c>
      <c r="H17" s="62">
        <f t="shared" si="7"/>
        <v>71849.126399999994</v>
      </c>
      <c r="I17" s="64">
        <v>0.01</v>
      </c>
      <c r="J17" s="62">
        <f t="shared" si="3"/>
        <v>35924.563199999997</v>
      </c>
      <c r="K17" s="63">
        <f>0.01</f>
        <v>0.01</v>
      </c>
      <c r="L17" s="62">
        <f>D17*K17</f>
        <v>35924.563199999997</v>
      </c>
      <c r="M17" s="19"/>
      <c r="N17" s="14"/>
    </row>
    <row r="18" spans="2:14" ht="23.25" customHeight="1" x14ac:dyDescent="0.25">
      <c r="B18" s="18"/>
      <c r="C18" s="176" t="s">
        <v>7</v>
      </c>
      <c r="D18" s="177"/>
      <c r="E18" s="177"/>
      <c r="F18" s="177"/>
      <c r="G18" s="177"/>
      <c r="H18" s="177"/>
      <c r="I18" s="177"/>
      <c r="J18" s="177"/>
      <c r="K18" s="177"/>
      <c r="L18" s="178"/>
      <c r="M18" s="19"/>
      <c r="N18" s="14"/>
    </row>
    <row r="19" spans="2:14" ht="18.75" x14ac:dyDescent="0.25">
      <c r="B19" s="18"/>
      <c r="C19" s="61" t="s">
        <v>53</v>
      </c>
      <c r="D19" s="40">
        <f>D39+F39</f>
        <v>280179</v>
      </c>
      <c r="E19" s="65">
        <v>0.42900000000000005</v>
      </c>
      <c r="F19" s="62">
        <f t="shared" ref="F19:F20" si="8">E19*D19</f>
        <v>120196.79100000001</v>
      </c>
      <c r="G19" s="40">
        <v>0.73</v>
      </c>
      <c r="H19" s="62">
        <f t="shared" ref="H19:H20" si="9">G19*D19</f>
        <v>204530.66999999998</v>
      </c>
      <c r="I19" s="63">
        <f>IF(E19*$N$8&lt;=G19,E19*$N$8,G19)</f>
        <v>0.4719000000000001</v>
      </c>
      <c r="J19" s="62">
        <f t="shared" si="3"/>
        <v>132216.47010000004</v>
      </c>
      <c r="K19" s="207">
        <f>IF(E19*$O$8&lt;=G19,E19*$O$8,G19)</f>
        <v>0.42900000000000005</v>
      </c>
      <c r="L19" s="62">
        <f>D19*K19</f>
        <v>120196.79100000001</v>
      </c>
      <c r="M19" s="19"/>
      <c r="N19" s="14"/>
    </row>
    <row r="20" spans="2:14" ht="18.75" x14ac:dyDescent="0.25">
      <c r="B20" s="18"/>
      <c r="C20" s="61" t="s">
        <v>9</v>
      </c>
      <c r="D20" s="40">
        <f>D40+F40</f>
        <v>169347</v>
      </c>
      <c r="E20" s="65">
        <v>1.1000000000000001</v>
      </c>
      <c r="F20" s="62">
        <f t="shared" si="8"/>
        <v>186281.7</v>
      </c>
      <c r="G20" s="40">
        <v>1.38</v>
      </c>
      <c r="H20" s="62">
        <f t="shared" si="9"/>
        <v>233698.86</v>
      </c>
      <c r="I20" s="63">
        <f t="shared" ref="I20:I22" si="10">IF(E20*$N$8&lt;=G20,E20*$N$8,G20)</f>
        <v>1.2100000000000002</v>
      </c>
      <c r="J20" s="62">
        <f t="shared" si="3"/>
        <v>204909.87000000002</v>
      </c>
      <c r="K20" s="207">
        <f t="shared" ref="K20:K22" si="11">IF(E20*$O$8&lt;=G20,E20*$O$8,G20)</f>
        <v>1.1000000000000001</v>
      </c>
      <c r="L20" s="62">
        <f t="shared" ref="L20:L22" si="12">D20*K20</f>
        <v>186281.7</v>
      </c>
      <c r="M20" s="19"/>
      <c r="N20" s="14"/>
    </row>
    <row r="21" spans="2:14" ht="37.5" x14ac:dyDescent="0.25">
      <c r="B21" s="18"/>
      <c r="C21" s="61" t="s">
        <v>30</v>
      </c>
      <c r="D21" s="40">
        <v>0</v>
      </c>
      <c r="E21" s="65">
        <v>6.3470000000000004</v>
      </c>
      <c r="F21" s="62">
        <v>0</v>
      </c>
      <c r="G21" s="40">
        <v>6.84</v>
      </c>
      <c r="H21" s="62">
        <v>0</v>
      </c>
      <c r="I21" s="63">
        <f t="shared" si="10"/>
        <v>6.84</v>
      </c>
      <c r="J21" s="62">
        <v>0</v>
      </c>
      <c r="K21" s="207">
        <f t="shared" si="11"/>
        <v>6.3470000000000004</v>
      </c>
      <c r="L21" s="62">
        <f t="shared" si="12"/>
        <v>0</v>
      </c>
      <c r="M21" s="19"/>
      <c r="N21" s="14"/>
    </row>
    <row r="22" spans="2:14" ht="37.5" x14ac:dyDescent="0.25">
      <c r="B22" s="18"/>
      <c r="C22" s="61" t="s">
        <v>32</v>
      </c>
      <c r="D22" s="40">
        <v>0</v>
      </c>
      <c r="E22" s="65">
        <v>4.0920000000000005</v>
      </c>
      <c r="F22" s="62">
        <v>0</v>
      </c>
      <c r="G22" s="40">
        <v>4.51</v>
      </c>
      <c r="H22" s="62">
        <v>0</v>
      </c>
      <c r="I22" s="63">
        <f t="shared" si="10"/>
        <v>4.5012000000000008</v>
      </c>
      <c r="J22" s="62">
        <v>0</v>
      </c>
      <c r="K22" s="207">
        <f t="shared" si="11"/>
        <v>4.0920000000000005</v>
      </c>
      <c r="L22" s="62">
        <f t="shared" si="12"/>
        <v>0</v>
      </c>
      <c r="M22" s="19"/>
      <c r="N22" s="14"/>
    </row>
    <row r="23" spans="2:14" ht="18.75" x14ac:dyDescent="0.25">
      <c r="B23" s="18"/>
      <c r="C23" s="78"/>
      <c r="D23" s="21"/>
      <c r="E23" s="21"/>
      <c r="F23" s="21"/>
      <c r="G23" s="21"/>
      <c r="H23" s="21"/>
      <c r="I23" s="21"/>
      <c r="J23" s="21"/>
      <c r="K23" s="79"/>
      <c r="L23" s="79"/>
      <c r="M23" s="19"/>
    </row>
    <row r="24" spans="2:14" s="37" customFormat="1" ht="97.5" customHeight="1" x14ac:dyDescent="0.25">
      <c r="B24" s="33"/>
      <c r="C24" s="38" t="s">
        <v>55</v>
      </c>
      <c r="D24" s="34" t="s">
        <v>54</v>
      </c>
      <c r="E24" s="34" t="s">
        <v>54</v>
      </c>
      <c r="F24" s="35">
        <f>SUM(F10:F20)</f>
        <v>1651224.2514</v>
      </c>
      <c r="G24" s="34" t="s">
        <v>54</v>
      </c>
      <c r="H24" s="35">
        <f>SUM(H10:H20)</f>
        <v>2121002.8295</v>
      </c>
      <c r="I24" s="22" t="s">
        <v>54</v>
      </c>
      <c r="J24" s="35">
        <f>SUM(J10:J20)</f>
        <v>1757880.0535600004</v>
      </c>
      <c r="K24" s="34" t="s">
        <v>54</v>
      </c>
      <c r="L24" s="35">
        <f>L10+L11+L12+L13+L14+L16+L17+L19+L20+L21+L22</f>
        <v>1651224.2514</v>
      </c>
      <c r="M24" s="36"/>
    </row>
    <row r="25" spans="2:14" x14ac:dyDescent="0.25">
      <c r="B25" s="18"/>
      <c r="M25" s="19"/>
    </row>
    <row r="26" spans="2:14" ht="18.75" x14ac:dyDescent="0.25">
      <c r="B26" s="18"/>
      <c r="E26" s="14"/>
      <c r="I26" s="154" t="s">
        <v>68</v>
      </c>
      <c r="J26" s="155">
        <f>J24-F24</f>
        <v>106655.80216000043</v>
      </c>
      <c r="K26" s="156"/>
      <c r="L26" s="155">
        <f>L24-F24</f>
        <v>0</v>
      </c>
      <c r="M26" s="41"/>
    </row>
    <row r="27" spans="2:14" ht="19.5" thickBot="1" x14ac:dyDescent="0.3">
      <c r="B27" s="23"/>
      <c r="C27" s="32"/>
      <c r="D27" s="24"/>
      <c r="E27" s="24"/>
      <c r="F27" s="24"/>
      <c r="G27" s="24"/>
      <c r="H27" s="24"/>
      <c r="I27" s="24"/>
      <c r="J27" s="24"/>
      <c r="K27" s="24"/>
      <c r="L27" s="24"/>
      <c r="M27" s="25"/>
      <c r="N27" s="21"/>
    </row>
    <row r="28" spans="2:14" x14ac:dyDescent="0.25">
      <c r="B28" s="82"/>
      <c r="C28" s="83"/>
      <c r="D28" s="84"/>
      <c r="E28" s="84"/>
      <c r="F28" s="84"/>
      <c r="G28" s="84"/>
      <c r="H28" s="84"/>
      <c r="I28" s="84"/>
      <c r="J28" s="84"/>
      <c r="K28" s="84"/>
      <c r="L28" s="84"/>
      <c r="M28" s="85"/>
    </row>
    <row r="29" spans="2:14" ht="30" x14ac:dyDescent="0.25">
      <c r="B29" s="82"/>
      <c r="C29" s="94" t="s">
        <v>13</v>
      </c>
      <c r="D29" s="94" t="s">
        <v>11</v>
      </c>
      <c r="E29" s="92" t="s">
        <v>12</v>
      </c>
      <c r="F29" s="90" t="s">
        <v>11</v>
      </c>
      <c r="G29" s="87"/>
      <c r="H29" s="87"/>
      <c r="I29" s="87"/>
      <c r="J29" s="84"/>
      <c r="K29" s="84"/>
      <c r="L29" s="84"/>
      <c r="M29" s="85"/>
    </row>
    <row r="30" spans="2:14" x14ac:dyDescent="0.25">
      <c r="B30" s="82"/>
      <c r="C30" s="179" t="s">
        <v>0</v>
      </c>
      <c r="D30" s="180"/>
      <c r="E30" s="181" t="s">
        <v>0</v>
      </c>
      <c r="F30" s="182"/>
      <c r="G30" s="84"/>
      <c r="H30" s="84"/>
      <c r="I30" s="84"/>
      <c r="J30" s="84"/>
      <c r="K30" s="84"/>
      <c r="L30" s="84"/>
      <c r="M30" s="85"/>
    </row>
    <row r="31" spans="2:14" x14ac:dyDescent="0.25">
      <c r="B31" s="82"/>
      <c r="C31" s="93" t="s">
        <v>1</v>
      </c>
      <c r="D31" s="89">
        <v>162764.98000000001</v>
      </c>
      <c r="E31" s="91" t="s">
        <v>1</v>
      </c>
      <c r="F31" s="89">
        <v>3734.61</v>
      </c>
      <c r="G31" s="86"/>
      <c r="H31" s="88"/>
      <c r="I31" s="86"/>
      <c r="J31" s="84"/>
      <c r="K31" s="84"/>
      <c r="L31" s="84"/>
      <c r="M31" s="85"/>
    </row>
    <row r="32" spans="2:14" x14ac:dyDescent="0.25">
      <c r="B32" s="82"/>
      <c r="C32" s="93" t="s">
        <v>2</v>
      </c>
      <c r="D32" s="89">
        <v>12983.36</v>
      </c>
      <c r="E32" s="91" t="s">
        <v>2</v>
      </c>
      <c r="F32" s="89">
        <v>4823.83</v>
      </c>
      <c r="G32" s="86"/>
      <c r="H32" s="88"/>
      <c r="I32" s="86"/>
      <c r="J32" s="84"/>
      <c r="K32" s="84"/>
      <c r="L32" s="84"/>
      <c r="M32" s="85"/>
    </row>
    <row r="33" spans="2:14" x14ac:dyDescent="0.25">
      <c r="B33" s="82"/>
      <c r="C33" s="93" t="s">
        <v>3</v>
      </c>
      <c r="D33" s="89">
        <v>20204.099999999999</v>
      </c>
      <c r="E33" s="91" t="s">
        <v>3</v>
      </c>
      <c r="F33" s="89">
        <v>1419.93</v>
      </c>
      <c r="G33" s="86"/>
      <c r="H33" s="88"/>
      <c r="I33" s="86"/>
      <c r="J33" s="84"/>
      <c r="K33" s="84"/>
      <c r="L33" s="84"/>
      <c r="M33" s="85"/>
    </row>
    <row r="34" spans="2:14" x14ac:dyDescent="0.25">
      <c r="B34" s="82"/>
      <c r="C34" s="93" t="s">
        <v>4</v>
      </c>
      <c r="D34" s="89">
        <v>1268.75</v>
      </c>
      <c r="E34" s="151" t="s">
        <v>4</v>
      </c>
      <c r="F34" s="89">
        <v>221.85</v>
      </c>
      <c r="G34" s="86"/>
      <c r="H34" s="88"/>
      <c r="I34" s="86"/>
      <c r="J34" s="84"/>
      <c r="K34" s="84"/>
      <c r="L34" s="84"/>
      <c r="M34" s="85"/>
    </row>
    <row r="35" spans="2:14" x14ac:dyDescent="0.25">
      <c r="B35" s="82"/>
      <c r="C35" s="183" t="s">
        <v>5</v>
      </c>
      <c r="D35" s="184"/>
      <c r="E35" s="181" t="s">
        <v>5</v>
      </c>
      <c r="F35" s="182"/>
      <c r="G35" s="86"/>
      <c r="H35" s="88"/>
      <c r="I35" s="86"/>
      <c r="J35" s="84"/>
      <c r="K35" s="84"/>
      <c r="L35" s="84"/>
      <c r="M35" s="85"/>
    </row>
    <row r="36" spans="2:14" x14ac:dyDescent="0.25">
      <c r="B36" s="82"/>
      <c r="C36" s="185"/>
      <c r="D36" s="186"/>
      <c r="E36" s="91" t="s">
        <v>5</v>
      </c>
      <c r="F36" s="89">
        <v>26964174.329999998</v>
      </c>
      <c r="G36" s="86"/>
      <c r="H36" s="88"/>
      <c r="I36" s="86"/>
      <c r="J36" s="84"/>
      <c r="K36" s="84"/>
      <c r="L36" s="84"/>
      <c r="M36" s="85"/>
    </row>
    <row r="37" spans="2:14" x14ac:dyDescent="0.25">
      <c r="B37" s="82"/>
      <c r="C37" s="93" t="s">
        <v>5</v>
      </c>
      <c r="D37" s="89">
        <v>472909</v>
      </c>
      <c r="E37" s="91" t="s">
        <v>6</v>
      </c>
      <c r="F37" s="89">
        <v>3592456.32</v>
      </c>
      <c r="G37" s="86"/>
      <c r="H37" s="88"/>
      <c r="I37" s="86"/>
      <c r="J37" s="84"/>
      <c r="K37" s="84"/>
      <c r="L37" s="84"/>
      <c r="M37" s="85"/>
    </row>
    <row r="38" spans="2:14" x14ac:dyDescent="0.25">
      <c r="B38" s="82"/>
      <c r="C38" s="179" t="s">
        <v>7</v>
      </c>
      <c r="D38" s="180"/>
      <c r="E38" s="181" t="s">
        <v>7</v>
      </c>
      <c r="F38" s="182"/>
      <c r="G38" s="86"/>
      <c r="H38" s="88"/>
      <c r="I38" s="86"/>
      <c r="J38" s="84"/>
      <c r="K38" s="84"/>
      <c r="L38" s="84"/>
      <c r="M38" s="85"/>
    </row>
    <row r="39" spans="2:14" x14ac:dyDescent="0.25">
      <c r="B39" s="82"/>
      <c r="C39" s="93" t="s">
        <v>8</v>
      </c>
      <c r="D39" s="89">
        <v>258392</v>
      </c>
      <c r="E39" s="91" t="s">
        <v>8</v>
      </c>
      <c r="F39" s="89">
        <v>21787</v>
      </c>
      <c r="G39" s="86"/>
      <c r="H39" s="88"/>
      <c r="I39" s="86"/>
      <c r="J39" s="84"/>
      <c r="K39" s="84"/>
      <c r="L39" s="84"/>
      <c r="M39" s="85"/>
    </row>
    <row r="40" spans="2:14" x14ac:dyDescent="0.25">
      <c r="B40" s="82"/>
      <c r="C40" s="93" t="s">
        <v>9</v>
      </c>
      <c r="D40" s="89">
        <v>78712</v>
      </c>
      <c r="E40" s="91" t="s">
        <v>9</v>
      </c>
      <c r="F40" s="89">
        <v>90635</v>
      </c>
      <c r="G40" s="86"/>
      <c r="H40" s="88"/>
      <c r="I40" s="86"/>
      <c r="J40" s="84"/>
      <c r="K40" s="84"/>
      <c r="L40" s="84"/>
      <c r="M40" s="85"/>
    </row>
    <row r="41" spans="2:14" ht="15.75" thickBot="1" x14ac:dyDescent="0.3">
      <c r="B41" s="82"/>
      <c r="C41" s="83"/>
      <c r="D41" s="86"/>
      <c r="E41" s="86"/>
      <c r="F41" s="84"/>
      <c r="G41" s="86"/>
      <c r="H41" s="86"/>
      <c r="I41" s="84"/>
      <c r="J41" s="86"/>
      <c r="K41" s="84"/>
      <c r="L41" s="84"/>
      <c r="M41" s="85"/>
    </row>
    <row r="42" spans="2:14" x14ac:dyDescent="0.25">
      <c r="B42" s="15"/>
      <c r="C42" s="66"/>
      <c r="D42" s="16"/>
      <c r="E42" s="16"/>
      <c r="F42" s="16"/>
      <c r="G42" s="16"/>
      <c r="H42" s="16"/>
      <c r="I42" s="16"/>
      <c r="J42" s="16"/>
      <c r="K42" s="16"/>
      <c r="L42" s="16"/>
      <c r="M42" s="17"/>
    </row>
    <row r="43" spans="2:14" ht="46.5" customHeight="1" x14ac:dyDescent="0.25">
      <c r="B43" s="18"/>
      <c r="C43" s="67" t="s">
        <v>70</v>
      </c>
      <c r="D43" s="68"/>
      <c r="E43" s="68"/>
      <c r="F43" s="68"/>
      <c r="G43" s="77"/>
      <c r="H43" s="68"/>
      <c r="I43" s="68"/>
      <c r="J43" s="68"/>
      <c r="K43" s="68"/>
      <c r="L43" s="68"/>
      <c r="M43" s="19"/>
    </row>
    <row r="44" spans="2:14" ht="93.75" x14ac:dyDescent="0.25">
      <c r="B44" s="18"/>
      <c r="C44" s="42" t="s">
        <v>48</v>
      </c>
      <c r="D44" s="42" t="str">
        <f t="shared" ref="D44:L44" si="13">D8</f>
        <v>Powierzchnia w m2 / Wartości w zł</v>
      </c>
      <c r="E44" s="42" t="str">
        <f t="shared" si="13"/>
        <v>Stawka uchwalona na 2024 r.</v>
      </c>
      <c r="F44" s="42" t="str">
        <f t="shared" si="13"/>
        <v>Szacowane dochody za 2024 r.</v>
      </c>
      <c r="G44" s="42" t="str">
        <f t="shared" si="13"/>
        <v>Stawka maxymalna wg M.Finansów na 2025 r.</v>
      </c>
      <c r="H44" s="42" t="str">
        <f t="shared" si="13"/>
        <v>Szacowane dochody wg stawek maxymalnych na 2025 r.</v>
      </c>
      <c r="I44" s="42" t="str">
        <f t="shared" si="13"/>
        <v>Propozycja Wójta Gminy na 2025 r. (wzrost o 5%)</v>
      </c>
      <c r="J44" s="42" t="str">
        <f t="shared" si="13"/>
        <v>Szacowane dochody wg stawek zwiększonych o 5 %</v>
      </c>
      <c r="K44" s="42" t="str">
        <f t="shared" si="13"/>
        <v>Propozycja Rady Gminy na 2025 r. (wzrost o ...)</v>
      </c>
      <c r="L44" s="42" t="str">
        <f t="shared" si="13"/>
        <v>Szacowane dochody wg stawek zwiększonych o  (wzrost o ...)</v>
      </c>
      <c r="M44" s="19"/>
    </row>
    <row r="45" spans="2:14" ht="18.75" x14ac:dyDescent="0.25">
      <c r="B45" s="18"/>
      <c r="C45" s="166" t="s">
        <v>0</v>
      </c>
      <c r="D45" s="167"/>
      <c r="E45" s="167"/>
      <c r="F45" s="167"/>
      <c r="G45" s="167"/>
      <c r="H45" s="167"/>
      <c r="I45" s="167"/>
      <c r="J45" s="167"/>
      <c r="K45" s="167"/>
      <c r="L45" s="168"/>
      <c r="M45" s="19"/>
    </row>
    <row r="46" spans="2:14" ht="38.25" customHeight="1" x14ac:dyDescent="0.25">
      <c r="B46" s="18"/>
      <c r="C46" s="43" t="s">
        <v>1</v>
      </c>
      <c r="D46" s="44">
        <f>F31</f>
        <v>3734.61</v>
      </c>
      <c r="E46" s="69">
        <f>E10</f>
        <v>1.08</v>
      </c>
      <c r="F46" s="70">
        <f>E46*D46</f>
        <v>4033.3788000000004</v>
      </c>
      <c r="G46" s="69">
        <f>G10</f>
        <v>1.19</v>
      </c>
      <c r="H46" s="70">
        <f>G46*D46</f>
        <v>4444.1859000000004</v>
      </c>
      <c r="I46" s="126">
        <f>I10</f>
        <v>1.1880000000000002</v>
      </c>
      <c r="J46" s="127">
        <f>D46*I46</f>
        <v>4436.7166800000005</v>
      </c>
      <c r="K46" s="206">
        <f>K10</f>
        <v>1.08</v>
      </c>
      <c r="L46" s="70">
        <f>K46*D46</f>
        <v>4033.3788000000004</v>
      </c>
      <c r="M46" s="19"/>
      <c r="N46" s="14"/>
    </row>
    <row r="47" spans="2:14" ht="37.5" x14ac:dyDescent="0.25">
      <c r="B47" s="18"/>
      <c r="C47" s="43" t="s">
        <v>50</v>
      </c>
      <c r="D47" s="44">
        <f>F32</f>
        <v>4823.83</v>
      </c>
      <c r="E47" s="69">
        <f>E11</f>
        <v>24.09</v>
      </c>
      <c r="F47" s="70">
        <f t="shared" ref="F47:F49" si="14">E47*D47</f>
        <v>116206.0647</v>
      </c>
      <c r="G47" s="69">
        <f>G11</f>
        <v>34</v>
      </c>
      <c r="H47" s="70">
        <f t="shared" ref="H47:H49" si="15">G47*D47</f>
        <v>164010.22</v>
      </c>
      <c r="I47" s="126">
        <f>I11</f>
        <v>26.499000000000002</v>
      </c>
      <c r="J47" s="127">
        <f t="shared" ref="J47:J50" si="16">D47*I47</f>
        <v>127826.67117000002</v>
      </c>
      <c r="K47" s="206">
        <f>K11</f>
        <v>24.09</v>
      </c>
      <c r="L47" s="70">
        <f t="shared" ref="L47:L50" si="17">K47*D47</f>
        <v>116206.0647</v>
      </c>
      <c r="M47" s="19"/>
      <c r="N47" s="14"/>
    </row>
    <row r="48" spans="2:14" ht="18.75" x14ac:dyDescent="0.25">
      <c r="B48" s="18"/>
      <c r="C48" s="43" t="s">
        <v>31</v>
      </c>
      <c r="D48" s="44">
        <f>F33</f>
        <v>1419.93</v>
      </c>
      <c r="E48" s="69">
        <f>E12</f>
        <v>6.57</v>
      </c>
      <c r="F48" s="70">
        <f t="shared" si="14"/>
        <v>9328.9401000000016</v>
      </c>
      <c r="G48" s="69">
        <f>G12</f>
        <v>11.48</v>
      </c>
      <c r="H48" s="70">
        <f t="shared" si="15"/>
        <v>16300.796400000001</v>
      </c>
      <c r="I48" s="126">
        <f>I12</f>
        <v>7.2270000000000012</v>
      </c>
      <c r="J48" s="127">
        <f t="shared" si="16"/>
        <v>10261.834110000002</v>
      </c>
      <c r="K48" s="206">
        <f>K12</f>
        <v>6.57</v>
      </c>
      <c r="L48" s="70">
        <f t="shared" si="17"/>
        <v>9328.9401000000016</v>
      </c>
      <c r="M48" s="19"/>
      <c r="N48" s="14"/>
    </row>
    <row r="49" spans="2:18" ht="37.5" x14ac:dyDescent="0.25">
      <c r="B49" s="18"/>
      <c r="C49" s="43" t="s">
        <v>51</v>
      </c>
      <c r="D49" s="44">
        <v>0</v>
      </c>
      <c r="E49" s="69">
        <f>E13</f>
        <v>6.1820000000000004</v>
      </c>
      <c r="F49" s="70">
        <f t="shared" si="14"/>
        <v>0</v>
      </c>
      <c r="G49" s="69">
        <f>G13</f>
        <v>6.95</v>
      </c>
      <c r="H49" s="70">
        <f t="shared" si="15"/>
        <v>0</v>
      </c>
      <c r="I49" s="126">
        <f>I13</f>
        <v>6.8002000000000011</v>
      </c>
      <c r="J49" s="127">
        <f t="shared" si="16"/>
        <v>0</v>
      </c>
      <c r="K49" s="206">
        <f>K13</f>
        <v>6.1820000000000004</v>
      </c>
      <c r="L49" s="70">
        <f t="shared" si="17"/>
        <v>0</v>
      </c>
      <c r="M49" s="19"/>
      <c r="N49" s="14"/>
    </row>
    <row r="50" spans="2:18" ht="56.25" x14ac:dyDescent="0.25">
      <c r="B50" s="18"/>
      <c r="C50" s="43" t="s">
        <v>52</v>
      </c>
      <c r="D50" s="44">
        <v>0</v>
      </c>
      <c r="E50" s="69">
        <f>E14</f>
        <v>14.773000000000001</v>
      </c>
      <c r="F50" s="70">
        <v>0</v>
      </c>
      <c r="G50" s="69">
        <f>G14</f>
        <v>15.92</v>
      </c>
      <c r="H50" s="70">
        <v>0</v>
      </c>
      <c r="I50" s="126">
        <f>I14</f>
        <v>15.92</v>
      </c>
      <c r="J50" s="127">
        <f t="shared" si="16"/>
        <v>0</v>
      </c>
      <c r="K50" s="206">
        <f>K14</f>
        <v>14.773000000000001</v>
      </c>
      <c r="L50" s="70">
        <f t="shared" si="17"/>
        <v>0</v>
      </c>
      <c r="M50" s="19"/>
      <c r="N50" s="14"/>
    </row>
    <row r="51" spans="2:18" ht="18.75" x14ac:dyDescent="0.25">
      <c r="B51" s="18"/>
      <c r="C51" s="166" t="s">
        <v>5</v>
      </c>
      <c r="D51" s="167"/>
      <c r="E51" s="167"/>
      <c r="F51" s="167"/>
      <c r="G51" s="167"/>
      <c r="H51" s="167"/>
      <c r="I51" s="167"/>
      <c r="J51" s="167"/>
      <c r="K51" s="167"/>
      <c r="L51" s="168"/>
      <c r="M51" s="19"/>
      <c r="N51" s="14"/>
    </row>
    <row r="52" spans="2:18" ht="18.75" x14ac:dyDescent="0.25">
      <c r="B52" s="18"/>
      <c r="C52" s="43" t="s">
        <v>5</v>
      </c>
      <c r="D52" s="44">
        <f>F36</f>
        <v>26964174.329999998</v>
      </c>
      <c r="E52" s="72">
        <f>E16</f>
        <v>0.02</v>
      </c>
      <c r="F52" s="70">
        <f t="shared" ref="F52:F53" si="18">E52*D52</f>
        <v>539283.48659999995</v>
      </c>
      <c r="G52" s="69">
        <f>G16</f>
        <v>0.02</v>
      </c>
      <c r="H52" s="70">
        <f t="shared" ref="H52:H53" si="19">G52*D52</f>
        <v>539283.48659999995</v>
      </c>
      <c r="I52" s="126">
        <f>I16</f>
        <v>0.02</v>
      </c>
      <c r="J52" s="127">
        <f t="shared" ref="J52:J53" si="20">D52*I52</f>
        <v>539283.48659999995</v>
      </c>
      <c r="K52" s="71">
        <f>K16</f>
        <v>0.02</v>
      </c>
      <c r="L52" s="70">
        <f>K52*D52</f>
        <v>539283.48659999995</v>
      </c>
      <c r="M52" s="19"/>
      <c r="N52" s="14"/>
    </row>
    <row r="53" spans="2:18" ht="17.25" customHeight="1" x14ac:dyDescent="0.25">
      <c r="B53" s="18"/>
      <c r="C53" s="43" t="s">
        <v>6</v>
      </c>
      <c r="D53" s="44">
        <f>F37</f>
        <v>3592456.32</v>
      </c>
      <c r="E53" s="72">
        <f>E17</f>
        <v>0.01</v>
      </c>
      <c r="F53" s="70">
        <f t="shared" si="18"/>
        <v>35924.563199999997</v>
      </c>
      <c r="G53" s="69">
        <f>G17</f>
        <v>0.02</v>
      </c>
      <c r="H53" s="70">
        <f t="shared" si="19"/>
        <v>71849.126399999994</v>
      </c>
      <c r="I53" s="126">
        <f>I17</f>
        <v>0.01</v>
      </c>
      <c r="J53" s="127">
        <f t="shared" si="20"/>
        <v>35924.563199999997</v>
      </c>
      <c r="K53" s="71">
        <f>K17</f>
        <v>0.01</v>
      </c>
      <c r="L53" s="70">
        <f>K53*D53</f>
        <v>35924.563199999997</v>
      </c>
      <c r="M53" s="19"/>
      <c r="N53" s="14"/>
    </row>
    <row r="54" spans="2:18" ht="18.75" x14ac:dyDescent="0.25">
      <c r="B54" s="18"/>
      <c r="C54" s="166" t="s">
        <v>7</v>
      </c>
      <c r="D54" s="167"/>
      <c r="E54" s="167"/>
      <c r="F54" s="167"/>
      <c r="G54" s="167"/>
      <c r="H54" s="167"/>
      <c r="I54" s="167"/>
      <c r="J54" s="167"/>
      <c r="K54" s="167"/>
      <c r="L54" s="168"/>
      <c r="M54" s="19"/>
      <c r="N54" s="14"/>
    </row>
    <row r="55" spans="2:18" ht="18.75" x14ac:dyDescent="0.25">
      <c r="B55" s="18"/>
      <c r="C55" s="43" t="s">
        <v>53</v>
      </c>
      <c r="D55" s="44">
        <f>F39</f>
        <v>21787</v>
      </c>
      <c r="E55" s="69">
        <f>E19</f>
        <v>0.42900000000000005</v>
      </c>
      <c r="F55" s="70">
        <f t="shared" ref="F55:F56" si="21">E55*D55</f>
        <v>9346.6230000000014</v>
      </c>
      <c r="G55" s="69">
        <f>G19</f>
        <v>0.73</v>
      </c>
      <c r="H55" s="70">
        <f t="shared" ref="H55:H56" si="22">G55*D55</f>
        <v>15904.51</v>
      </c>
      <c r="I55" s="126">
        <f>I19</f>
        <v>0.4719000000000001</v>
      </c>
      <c r="J55" s="127">
        <f t="shared" ref="J55:J56" si="23">D55*I55</f>
        <v>10281.285300000001</v>
      </c>
      <c r="K55" s="206">
        <f>K19</f>
        <v>0.42900000000000005</v>
      </c>
      <c r="L55" s="70">
        <f>K55*D55</f>
        <v>9346.6230000000014</v>
      </c>
      <c r="M55" s="19"/>
      <c r="N55" s="14"/>
    </row>
    <row r="56" spans="2:18" ht="18.75" x14ac:dyDescent="0.25">
      <c r="B56" s="18"/>
      <c r="C56" s="43" t="s">
        <v>9</v>
      </c>
      <c r="D56" s="44">
        <f>F40</f>
        <v>90635</v>
      </c>
      <c r="E56" s="69">
        <f>E20</f>
        <v>1.1000000000000001</v>
      </c>
      <c r="F56" s="70">
        <f t="shared" si="21"/>
        <v>99698.500000000015</v>
      </c>
      <c r="G56" s="69">
        <f>G20</f>
        <v>1.38</v>
      </c>
      <c r="H56" s="70">
        <f t="shared" si="22"/>
        <v>125076.29999999999</v>
      </c>
      <c r="I56" s="126">
        <f>I20</f>
        <v>1.2100000000000002</v>
      </c>
      <c r="J56" s="127">
        <f t="shared" si="23"/>
        <v>109668.35000000002</v>
      </c>
      <c r="K56" s="206">
        <f>K20</f>
        <v>1.1000000000000001</v>
      </c>
      <c r="L56" s="70">
        <f t="shared" ref="L56:L58" si="24">K56*D56</f>
        <v>99698.500000000015</v>
      </c>
      <c r="M56" s="19"/>
      <c r="N56" s="14"/>
      <c r="R56" s="14"/>
    </row>
    <row r="57" spans="2:18" ht="37.5" x14ac:dyDescent="0.25">
      <c r="B57" s="18"/>
      <c r="C57" s="43" t="s">
        <v>30</v>
      </c>
      <c r="D57" s="44">
        <v>0</v>
      </c>
      <c r="E57" s="69">
        <f>E21</f>
        <v>6.3470000000000004</v>
      </c>
      <c r="F57" s="70">
        <v>0</v>
      </c>
      <c r="G57" s="69">
        <f>G21</f>
        <v>6.84</v>
      </c>
      <c r="H57" s="70">
        <v>0</v>
      </c>
      <c r="I57" s="126">
        <f>I21</f>
        <v>6.84</v>
      </c>
      <c r="J57" s="127">
        <v>0</v>
      </c>
      <c r="K57" s="206">
        <f>K21</f>
        <v>6.3470000000000004</v>
      </c>
      <c r="L57" s="70">
        <f t="shared" si="24"/>
        <v>0</v>
      </c>
      <c r="M57" s="19"/>
      <c r="N57" s="14"/>
    </row>
    <row r="58" spans="2:18" ht="37.5" x14ac:dyDescent="0.25">
      <c r="B58" s="18"/>
      <c r="C58" s="43" t="s">
        <v>32</v>
      </c>
      <c r="D58" s="44">
        <v>0</v>
      </c>
      <c r="E58" s="69">
        <f>E22</f>
        <v>4.0920000000000005</v>
      </c>
      <c r="F58" s="70">
        <v>0</v>
      </c>
      <c r="G58" s="69">
        <f>G22</f>
        <v>4.51</v>
      </c>
      <c r="H58" s="70">
        <v>0</v>
      </c>
      <c r="I58" s="126">
        <f>I22</f>
        <v>4.5012000000000008</v>
      </c>
      <c r="J58" s="127">
        <v>0</v>
      </c>
      <c r="K58" s="206">
        <f>K22</f>
        <v>4.0920000000000005</v>
      </c>
      <c r="L58" s="70">
        <f t="shared" si="24"/>
        <v>0</v>
      </c>
      <c r="M58" s="19"/>
      <c r="N58" s="14"/>
    </row>
    <row r="59" spans="2:18" ht="18.75" x14ac:dyDescent="0.25">
      <c r="B59" s="18"/>
      <c r="C59" s="73"/>
      <c r="D59" s="74"/>
      <c r="E59" s="74"/>
      <c r="F59" s="74"/>
      <c r="G59" s="74"/>
      <c r="H59" s="74"/>
      <c r="I59" s="74"/>
      <c r="J59" s="74"/>
      <c r="K59" s="75"/>
      <c r="L59" s="75"/>
      <c r="M59" s="19"/>
    </row>
    <row r="60" spans="2:18" ht="56.25" x14ac:dyDescent="0.25">
      <c r="B60" s="18"/>
      <c r="C60" s="48" t="s">
        <v>73</v>
      </c>
      <c r="D60" s="49" t="s">
        <v>54</v>
      </c>
      <c r="E60" s="49" t="s">
        <v>54</v>
      </c>
      <c r="F60" s="50">
        <f>SUM(F46:F56)</f>
        <v>813821.5564</v>
      </c>
      <c r="G60" s="49" t="s">
        <v>54</v>
      </c>
      <c r="H60" s="50">
        <f>SUM(H46:H56)</f>
        <v>936868.62529999996</v>
      </c>
      <c r="I60" s="51" t="s">
        <v>54</v>
      </c>
      <c r="J60" s="50">
        <f>SUM(J46:J56)</f>
        <v>837682.90705999988</v>
      </c>
      <c r="K60" s="49" t="s">
        <v>54</v>
      </c>
      <c r="L60" s="50">
        <f>L46+L47+L48+L49+L50+L52+L53+L55+L56+L57+L58</f>
        <v>813821.5564</v>
      </c>
      <c r="M60" s="19"/>
    </row>
    <row r="61" spans="2:18" x14ac:dyDescent="0.25">
      <c r="B61" s="18"/>
      <c r="C61" s="76"/>
      <c r="D61" s="68"/>
      <c r="E61" s="68"/>
      <c r="F61" s="68"/>
      <c r="G61" s="68"/>
      <c r="H61" s="68"/>
      <c r="I61" s="68"/>
      <c r="J61" s="68"/>
      <c r="K61" s="68"/>
      <c r="L61" s="68"/>
      <c r="M61" s="19"/>
    </row>
    <row r="62" spans="2:18" ht="18.75" x14ac:dyDescent="0.25">
      <c r="B62" s="18"/>
      <c r="C62" s="76"/>
      <c r="D62" s="68"/>
      <c r="E62" s="68"/>
      <c r="F62" s="68"/>
      <c r="G62" s="68"/>
      <c r="H62" s="68"/>
      <c r="I62" s="80" t="s">
        <v>68</v>
      </c>
      <c r="J62" s="81">
        <f>J60-F60</f>
        <v>23861.35065999988</v>
      </c>
      <c r="K62" s="68"/>
      <c r="L62" s="125">
        <f>L60-F60</f>
        <v>0</v>
      </c>
      <c r="M62" s="19"/>
    </row>
    <row r="63" spans="2:18" x14ac:dyDescent="0.25">
      <c r="B63" s="18"/>
      <c r="C63" s="76"/>
      <c r="D63" s="68"/>
      <c r="E63" s="68"/>
      <c r="F63" s="68"/>
      <c r="G63" s="68"/>
      <c r="H63" s="68"/>
      <c r="I63" s="68"/>
      <c r="J63" s="68"/>
      <c r="K63" s="68"/>
      <c r="L63" s="68"/>
      <c r="M63" s="19"/>
    </row>
    <row r="64" spans="2:18" ht="46.5" customHeight="1" x14ac:dyDescent="0.25">
      <c r="B64" s="18"/>
      <c r="C64" s="130" t="s">
        <v>71</v>
      </c>
      <c r="D64" s="68"/>
      <c r="E64" s="68"/>
      <c r="F64" s="68"/>
      <c r="G64" s="68"/>
      <c r="H64" s="68"/>
      <c r="I64" s="68"/>
      <c r="J64" s="68"/>
      <c r="K64" s="68"/>
      <c r="L64" s="68"/>
      <c r="M64" s="19"/>
    </row>
    <row r="65" spans="2:14" ht="93.75" x14ac:dyDescent="0.25">
      <c r="B65" s="18"/>
      <c r="C65" s="131" t="s">
        <v>48</v>
      </c>
      <c r="D65" s="131" t="str">
        <f>D44</f>
        <v>Powierzchnia w m2 / Wartości w zł</v>
      </c>
      <c r="E65" s="131" t="str">
        <f t="shared" ref="E65:L65" si="25">E44</f>
        <v>Stawka uchwalona na 2024 r.</v>
      </c>
      <c r="F65" s="131" t="str">
        <f t="shared" si="25"/>
        <v>Szacowane dochody za 2024 r.</v>
      </c>
      <c r="G65" s="131" t="str">
        <f t="shared" si="25"/>
        <v>Stawka maxymalna wg M.Finansów na 2025 r.</v>
      </c>
      <c r="H65" s="131" t="str">
        <f t="shared" si="25"/>
        <v>Szacowane dochody wg stawek maxymalnych na 2025 r.</v>
      </c>
      <c r="I65" s="131" t="str">
        <f t="shared" si="25"/>
        <v>Propozycja Wójta Gminy na 2025 r. (wzrost o 5%)</v>
      </c>
      <c r="J65" s="131" t="str">
        <f t="shared" si="25"/>
        <v>Szacowane dochody wg stawek zwiększonych o 5 %</v>
      </c>
      <c r="K65" s="131" t="str">
        <f t="shared" si="25"/>
        <v>Propozycja Rady Gminy na 2025 r. (wzrost o ...)</v>
      </c>
      <c r="L65" s="131" t="str">
        <f t="shared" si="25"/>
        <v>Szacowane dochody wg stawek zwiększonych o  (wzrost o ...)</v>
      </c>
      <c r="M65" s="19"/>
    </row>
    <row r="66" spans="2:14" ht="18.75" x14ac:dyDescent="0.25">
      <c r="B66" s="18"/>
      <c r="C66" s="169" t="s">
        <v>0</v>
      </c>
      <c r="D66" s="170"/>
      <c r="E66" s="170"/>
      <c r="F66" s="170"/>
      <c r="G66" s="170"/>
      <c r="H66" s="170"/>
      <c r="I66" s="170"/>
      <c r="J66" s="170"/>
      <c r="K66" s="170"/>
      <c r="L66" s="171"/>
      <c r="M66" s="19"/>
    </row>
    <row r="67" spans="2:14" ht="18.75" x14ac:dyDescent="0.25">
      <c r="B67" s="18"/>
      <c r="C67" s="132" t="s">
        <v>1</v>
      </c>
      <c r="D67" s="133">
        <f>D31</f>
        <v>162764.98000000001</v>
      </c>
      <c r="E67" s="69">
        <f>E10</f>
        <v>1.08</v>
      </c>
      <c r="F67" s="70">
        <f>E67*D67</f>
        <v>175786.17840000003</v>
      </c>
      <c r="G67" s="69">
        <f>G10</f>
        <v>1.19</v>
      </c>
      <c r="H67" s="70">
        <f>G67*D67</f>
        <v>193690.32620000001</v>
      </c>
      <c r="I67" s="128">
        <f>I10</f>
        <v>1.1880000000000002</v>
      </c>
      <c r="J67" s="129">
        <f>D67*I67</f>
        <v>193364.79624000003</v>
      </c>
      <c r="K67" s="206">
        <f>K46</f>
        <v>1.08</v>
      </c>
      <c r="L67" s="70">
        <f>K67*D67</f>
        <v>175786.17840000003</v>
      </c>
      <c r="M67" s="19"/>
    </row>
    <row r="68" spans="2:14" ht="37.5" x14ac:dyDescent="0.25">
      <c r="B68" s="18"/>
      <c r="C68" s="132" t="s">
        <v>50</v>
      </c>
      <c r="D68" s="133">
        <f>D32</f>
        <v>12983.36</v>
      </c>
      <c r="E68" s="69">
        <f>E11</f>
        <v>24.09</v>
      </c>
      <c r="F68" s="70">
        <f t="shared" ref="F68:F70" si="26">E68*D68</f>
        <v>312769.14240000001</v>
      </c>
      <c r="G68" s="69">
        <f>G11</f>
        <v>34</v>
      </c>
      <c r="H68" s="70">
        <f t="shared" ref="H68:H70" si="27">G68*D68</f>
        <v>441434.24</v>
      </c>
      <c r="I68" s="128">
        <f>I11</f>
        <v>26.499000000000002</v>
      </c>
      <c r="J68" s="129">
        <f t="shared" ref="J68:J71" si="28">D68*I68</f>
        <v>344046.05664000002</v>
      </c>
      <c r="K68" s="206">
        <f t="shared" ref="K68:K71" si="29">K47</f>
        <v>24.09</v>
      </c>
      <c r="L68" s="70">
        <f t="shared" ref="L68:L71" si="30">K68*D68</f>
        <v>312769.14240000001</v>
      </c>
      <c r="M68" s="19"/>
    </row>
    <row r="69" spans="2:14" ht="18.75" x14ac:dyDescent="0.25">
      <c r="B69" s="18"/>
      <c r="C69" s="132" t="s">
        <v>31</v>
      </c>
      <c r="D69" s="133">
        <f>D33</f>
        <v>20204.099999999999</v>
      </c>
      <c r="E69" s="69">
        <f>E12</f>
        <v>6.57</v>
      </c>
      <c r="F69" s="70">
        <f t="shared" si="26"/>
        <v>132740.93700000001</v>
      </c>
      <c r="G69" s="69">
        <f>G12</f>
        <v>11.48</v>
      </c>
      <c r="H69" s="70">
        <f t="shared" si="27"/>
        <v>231943.068</v>
      </c>
      <c r="I69" s="128">
        <f>I12</f>
        <v>7.2270000000000012</v>
      </c>
      <c r="J69" s="129">
        <f t="shared" si="28"/>
        <v>146015.0307</v>
      </c>
      <c r="K69" s="206">
        <f t="shared" si="29"/>
        <v>6.57</v>
      </c>
      <c r="L69" s="70">
        <f t="shared" si="30"/>
        <v>132740.93700000001</v>
      </c>
      <c r="M69" s="19"/>
    </row>
    <row r="70" spans="2:14" ht="37.5" x14ac:dyDescent="0.25">
      <c r="B70" s="18"/>
      <c r="C70" s="132" t="s">
        <v>51</v>
      </c>
      <c r="D70" s="133">
        <f>D34</f>
        <v>1268.75</v>
      </c>
      <c r="E70" s="69">
        <f>E13</f>
        <v>6.1820000000000004</v>
      </c>
      <c r="F70" s="70">
        <f t="shared" si="26"/>
        <v>7843.4125000000004</v>
      </c>
      <c r="G70" s="69">
        <f>G13</f>
        <v>6.95</v>
      </c>
      <c r="H70" s="70">
        <f t="shared" si="27"/>
        <v>8817.8125</v>
      </c>
      <c r="I70" s="128">
        <f>I13</f>
        <v>6.8002000000000011</v>
      </c>
      <c r="J70" s="129">
        <f t="shared" si="28"/>
        <v>8627.7537500000017</v>
      </c>
      <c r="K70" s="206">
        <f t="shared" si="29"/>
        <v>6.1820000000000004</v>
      </c>
      <c r="L70" s="70">
        <f t="shared" si="30"/>
        <v>7843.4125000000004</v>
      </c>
      <c r="M70" s="19"/>
    </row>
    <row r="71" spans="2:14" ht="56.25" x14ac:dyDescent="0.25">
      <c r="B71" s="18"/>
      <c r="C71" s="132" t="s">
        <v>52</v>
      </c>
      <c r="D71" s="133">
        <v>0</v>
      </c>
      <c r="E71" s="69">
        <f>E14</f>
        <v>14.773000000000001</v>
      </c>
      <c r="F71" s="70">
        <v>0</v>
      </c>
      <c r="G71" s="69">
        <f>G14</f>
        <v>15.92</v>
      </c>
      <c r="H71" s="70">
        <v>0</v>
      </c>
      <c r="I71" s="128">
        <f>I14</f>
        <v>15.92</v>
      </c>
      <c r="J71" s="129">
        <f t="shared" si="28"/>
        <v>0</v>
      </c>
      <c r="K71" s="206">
        <f t="shared" si="29"/>
        <v>14.773000000000001</v>
      </c>
      <c r="L71" s="70">
        <f t="shared" si="30"/>
        <v>0</v>
      </c>
      <c r="M71" s="19"/>
    </row>
    <row r="72" spans="2:14" ht="18.75" x14ac:dyDescent="0.25">
      <c r="B72" s="18"/>
      <c r="C72" s="169" t="s">
        <v>5</v>
      </c>
      <c r="D72" s="170"/>
      <c r="E72" s="170"/>
      <c r="F72" s="170"/>
      <c r="G72" s="170"/>
      <c r="H72" s="170"/>
      <c r="I72" s="170"/>
      <c r="J72" s="170"/>
      <c r="K72" s="170"/>
      <c r="L72" s="171"/>
      <c r="M72" s="19"/>
    </row>
    <row r="73" spans="2:14" ht="18.75" x14ac:dyDescent="0.25">
      <c r="B73" s="18"/>
      <c r="C73" s="132" t="s">
        <v>5</v>
      </c>
      <c r="D73" s="133">
        <f>D37</f>
        <v>472909</v>
      </c>
      <c r="E73" s="72">
        <f>E16</f>
        <v>0.02</v>
      </c>
      <c r="F73" s="70">
        <f t="shared" ref="F73:F74" si="31">E73*D73</f>
        <v>9458.18</v>
      </c>
      <c r="G73" s="69">
        <f>G16</f>
        <v>0.02</v>
      </c>
      <c r="H73" s="70">
        <f t="shared" ref="H73:H74" si="32">G73*D73</f>
        <v>9458.18</v>
      </c>
      <c r="I73" s="128">
        <f>I16</f>
        <v>0.02</v>
      </c>
      <c r="J73" s="129">
        <f t="shared" ref="J73:J74" si="33">D73*I73</f>
        <v>9458.18</v>
      </c>
      <c r="K73" s="71">
        <f>K52</f>
        <v>0.02</v>
      </c>
      <c r="L73" s="70">
        <f>K73*D73</f>
        <v>9458.18</v>
      </c>
      <c r="M73" s="19"/>
    </row>
    <row r="74" spans="2:14" ht="18.75" x14ac:dyDescent="0.25">
      <c r="B74" s="18"/>
      <c r="C74" s="132" t="s">
        <v>6</v>
      </c>
      <c r="D74" s="133">
        <v>0</v>
      </c>
      <c r="E74" s="72">
        <f>E17</f>
        <v>0.01</v>
      </c>
      <c r="F74" s="70">
        <f t="shared" si="31"/>
        <v>0</v>
      </c>
      <c r="G74" s="69">
        <f>G17</f>
        <v>0.02</v>
      </c>
      <c r="H74" s="70">
        <f t="shared" si="32"/>
        <v>0</v>
      </c>
      <c r="I74" s="128">
        <f>I17</f>
        <v>0.01</v>
      </c>
      <c r="J74" s="129">
        <f t="shared" si="33"/>
        <v>0</v>
      </c>
      <c r="K74" s="71">
        <f>K53</f>
        <v>0.01</v>
      </c>
      <c r="L74" s="70">
        <f>K74*D74</f>
        <v>0</v>
      </c>
      <c r="M74" s="19"/>
    </row>
    <row r="75" spans="2:14" ht="18.75" x14ac:dyDescent="0.25">
      <c r="B75" s="18"/>
      <c r="C75" s="169" t="s">
        <v>7</v>
      </c>
      <c r="D75" s="170"/>
      <c r="E75" s="170"/>
      <c r="F75" s="170"/>
      <c r="G75" s="170"/>
      <c r="H75" s="170"/>
      <c r="I75" s="170"/>
      <c r="J75" s="170"/>
      <c r="K75" s="170"/>
      <c r="L75" s="171"/>
      <c r="M75" s="19"/>
    </row>
    <row r="76" spans="2:14" ht="18.75" x14ac:dyDescent="0.25">
      <c r="B76" s="18"/>
      <c r="C76" s="132" t="s">
        <v>53</v>
      </c>
      <c r="D76" s="133">
        <f>D39</f>
        <v>258392</v>
      </c>
      <c r="E76" s="69">
        <f>E19</f>
        <v>0.42900000000000005</v>
      </c>
      <c r="F76" s="70">
        <f t="shared" ref="F76:F77" si="34">E76*D76</f>
        <v>110850.16800000001</v>
      </c>
      <c r="G76" s="69">
        <f>G19</f>
        <v>0.73</v>
      </c>
      <c r="H76" s="70">
        <f t="shared" ref="H76:H77" si="35">G76*D76</f>
        <v>188626.16</v>
      </c>
      <c r="I76" s="128">
        <f>I19</f>
        <v>0.4719000000000001</v>
      </c>
      <c r="J76" s="129">
        <f t="shared" ref="J76:J77" si="36">D76*I76</f>
        <v>121935.18480000003</v>
      </c>
      <c r="K76" s="206">
        <f>K55</f>
        <v>0.42900000000000005</v>
      </c>
      <c r="L76" s="70">
        <f>K76*D76</f>
        <v>110850.16800000001</v>
      </c>
      <c r="M76" s="19"/>
      <c r="N76" s="14"/>
    </row>
    <row r="77" spans="2:14" ht="18.75" x14ac:dyDescent="0.25">
      <c r="B77" s="18"/>
      <c r="C77" s="132" t="s">
        <v>9</v>
      </c>
      <c r="D77" s="133">
        <f>D40</f>
        <v>78712</v>
      </c>
      <c r="E77" s="69">
        <f>E20</f>
        <v>1.1000000000000001</v>
      </c>
      <c r="F77" s="70">
        <f t="shared" si="34"/>
        <v>86583.200000000012</v>
      </c>
      <c r="G77" s="69">
        <f>G20</f>
        <v>1.38</v>
      </c>
      <c r="H77" s="70">
        <f t="shared" si="35"/>
        <v>108622.56</v>
      </c>
      <c r="I77" s="128">
        <f>I20</f>
        <v>1.2100000000000002</v>
      </c>
      <c r="J77" s="129">
        <f t="shared" si="36"/>
        <v>95241.520000000019</v>
      </c>
      <c r="K77" s="206">
        <f t="shared" ref="K77:K79" si="37">K56</f>
        <v>1.1000000000000001</v>
      </c>
      <c r="L77" s="70">
        <f t="shared" ref="L77:L79" si="38">K77*D77</f>
        <v>86583.200000000012</v>
      </c>
      <c r="M77" s="19"/>
    </row>
    <row r="78" spans="2:14" ht="37.5" x14ac:dyDescent="0.25">
      <c r="B78" s="18"/>
      <c r="C78" s="132" t="s">
        <v>30</v>
      </c>
      <c r="D78" s="133">
        <v>0</v>
      </c>
      <c r="E78" s="69">
        <f>E21</f>
        <v>6.3470000000000004</v>
      </c>
      <c r="F78" s="70">
        <v>0</v>
      </c>
      <c r="G78" s="69">
        <f>G21</f>
        <v>6.84</v>
      </c>
      <c r="H78" s="70">
        <v>0</v>
      </c>
      <c r="I78" s="128">
        <f>I21</f>
        <v>6.84</v>
      </c>
      <c r="J78" s="129">
        <v>0</v>
      </c>
      <c r="K78" s="206">
        <f t="shared" si="37"/>
        <v>6.3470000000000004</v>
      </c>
      <c r="L78" s="70">
        <f t="shared" si="38"/>
        <v>0</v>
      </c>
      <c r="M78" s="19"/>
    </row>
    <row r="79" spans="2:14" ht="37.5" x14ac:dyDescent="0.25">
      <c r="B79" s="18"/>
      <c r="C79" s="132" t="s">
        <v>32</v>
      </c>
      <c r="D79" s="133">
        <v>0</v>
      </c>
      <c r="E79" s="69">
        <f>E22</f>
        <v>4.0920000000000005</v>
      </c>
      <c r="F79" s="70">
        <v>0</v>
      </c>
      <c r="G79" s="69">
        <f>G22</f>
        <v>4.51</v>
      </c>
      <c r="H79" s="70">
        <v>0</v>
      </c>
      <c r="I79" s="128">
        <f>I22</f>
        <v>4.5012000000000008</v>
      </c>
      <c r="J79" s="129">
        <v>0</v>
      </c>
      <c r="K79" s="206">
        <f t="shared" si="37"/>
        <v>4.0920000000000005</v>
      </c>
      <c r="L79" s="70">
        <f t="shared" si="38"/>
        <v>0</v>
      </c>
      <c r="M79" s="19"/>
    </row>
    <row r="80" spans="2:14" ht="18.75" x14ac:dyDescent="0.25">
      <c r="B80" s="18"/>
      <c r="C80" s="73"/>
      <c r="D80" s="74"/>
      <c r="E80" s="74"/>
      <c r="F80" s="74"/>
      <c r="G80" s="74"/>
      <c r="H80" s="74"/>
      <c r="I80" s="74"/>
      <c r="J80" s="74"/>
      <c r="K80" s="75"/>
      <c r="L80" s="75"/>
      <c r="M80" s="19"/>
    </row>
    <row r="81" spans="2:13" ht="56.25" x14ac:dyDescent="0.25">
      <c r="B81" s="18"/>
      <c r="C81" s="134" t="s">
        <v>72</v>
      </c>
      <c r="D81" s="135" t="s">
        <v>54</v>
      </c>
      <c r="E81" s="135" t="s">
        <v>54</v>
      </c>
      <c r="F81" s="136">
        <f>SUM(F67:F77)</f>
        <v>836031.21830000007</v>
      </c>
      <c r="G81" s="135" t="s">
        <v>54</v>
      </c>
      <c r="H81" s="136">
        <f>SUM(H67:H77)</f>
        <v>1182592.3467000001</v>
      </c>
      <c r="I81" s="137" t="s">
        <v>54</v>
      </c>
      <c r="J81" s="136">
        <f>SUM(J67:J77)</f>
        <v>918688.52213000017</v>
      </c>
      <c r="K81" s="135" t="s">
        <v>54</v>
      </c>
      <c r="L81" s="136">
        <f>L67+L68+L69+L70+L71+L73+L74+L76+L77+L78+L79</f>
        <v>836031.21830000007</v>
      </c>
      <c r="M81" s="19"/>
    </row>
    <row r="82" spans="2:13" x14ac:dyDescent="0.25">
      <c r="B82" s="18"/>
      <c r="M82" s="19"/>
    </row>
    <row r="83" spans="2:13" ht="18.75" x14ac:dyDescent="0.25">
      <c r="B83" s="18"/>
      <c r="I83" s="80" t="s">
        <v>68</v>
      </c>
      <c r="J83" s="81">
        <f>J81-F81</f>
        <v>82657.303830000106</v>
      </c>
      <c r="L83" s="81">
        <f>L81-F81</f>
        <v>0</v>
      </c>
      <c r="M83" s="19"/>
    </row>
    <row r="84" spans="2:13" ht="15.75" thickBot="1" x14ac:dyDescent="0.3">
      <c r="B84" s="23"/>
      <c r="C84" s="32"/>
      <c r="D84" s="24"/>
      <c r="E84" s="24"/>
      <c r="F84" s="24"/>
      <c r="G84" s="24"/>
      <c r="H84" s="24"/>
      <c r="I84" s="24"/>
      <c r="J84" s="24"/>
      <c r="K84" s="24"/>
      <c r="L84" s="24"/>
      <c r="M84" s="25"/>
    </row>
    <row r="86" spans="2:13" ht="30" customHeight="1" x14ac:dyDescent="0.25">
      <c r="J86" s="52"/>
      <c r="L86" s="14"/>
    </row>
    <row r="89" spans="2:13" x14ac:dyDescent="0.25">
      <c r="L89" s="14"/>
    </row>
    <row r="92" spans="2:13" x14ac:dyDescent="0.25">
      <c r="L92" s="14"/>
    </row>
  </sheetData>
  <mergeCells count="16">
    <mergeCell ref="C4:L4"/>
    <mergeCell ref="C9:L9"/>
    <mergeCell ref="C15:L15"/>
    <mergeCell ref="C18:L18"/>
    <mergeCell ref="C45:L45"/>
    <mergeCell ref="C30:D30"/>
    <mergeCell ref="C38:D38"/>
    <mergeCell ref="E30:F30"/>
    <mergeCell ref="E35:F35"/>
    <mergeCell ref="E38:F38"/>
    <mergeCell ref="C35:D36"/>
    <mergeCell ref="C51:L51"/>
    <mergeCell ref="C54:L54"/>
    <mergeCell ref="C66:L66"/>
    <mergeCell ref="C72:L72"/>
    <mergeCell ref="C75:L75"/>
  </mergeCells>
  <pageMargins left="0.25" right="0.25" top="0.75" bottom="0.75" header="0.3" footer="0.3"/>
  <pageSetup paperSize="9" scale="2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83AB-CEEF-4CA2-8219-C568352DD787}">
  <sheetPr>
    <pageSetUpPr fitToPage="1"/>
  </sheetPr>
  <dimension ref="A1:L64"/>
  <sheetViews>
    <sheetView tabSelected="1" topLeftCell="A13" zoomScale="70" zoomScaleNormal="70" workbookViewId="0">
      <selection activeCell="G9" sqref="G9"/>
    </sheetView>
  </sheetViews>
  <sheetFormatPr defaultRowHeight="15" x14ac:dyDescent="0.25"/>
  <cols>
    <col min="1" max="1" width="15.140625" customWidth="1"/>
    <col min="2" max="2" width="16.85546875" customWidth="1"/>
    <col min="3" max="3" width="32.5703125" customWidth="1"/>
    <col min="4" max="4" width="19.28515625" customWidth="1"/>
    <col min="5" max="5" width="34.140625" customWidth="1"/>
    <col min="6" max="6" width="25.28515625" customWidth="1"/>
    <col min="7" max="7" width="35.28515625" customWidth="1"/>
    <col min="8" max="8" width="21.5703125" customWidth="1"/>
  </cols>
  <sheetData>
    <row r="1" spans="1:12" ht="23.25" x14ac:dyDescent="0.35">
      <c r="A1" s="195" t="s">
        <v>101</v>
      </c>
      <c r="B1" s="195"/>
      <c r="C1" s="195"/>
      <c r="D1" s="195"/>
      <c r="E1" s="195"/>
      <c r="F1" s="195"/>
      <c r="G1" s="195"/>
      <c r="H1" s="195"/>
    </row>
    <row r="2" spans="1:12" ht="23.25" x14ac:dyDescent="0.35">
      <c r="A2" s="59"/>
      <c r="B2" s="59"/>
      <c r="C2" s="59"/>
      <c r="D2" s="59"/>
      <c r="E2" s="59"/>
      <c r="J2" s="214" t="s">
        <v>110</v>
      </c>
      <c r="K2" s="214"/>
      <c r="L2" s="214"/>
    </row>
    <row r="3" spans="1:12" ht="30" x14ac:dyDescent="0.25">
      <c r="D3" s="123" t="s">
        <v>83</v>
      </c>
      <c r="E3" s="143" t="s">
        <v>98</v>
      </c>
      <c r="F3" s="142" t="s">
        <v>107</v>
      </c>
      <c r="H3" s="158">
        <v>1.08</v>
      </c>
      <c r="J3" s="187" t="s">
        <v>87</v>
      </c>
      <c r="K3" s="187"/>
      <c r="L3" s="159" t="s">
        <v>86</v>
      </c>
    </row>
    <row r="4" spans="1:12" x14ac:dyDescent="0.25">
      <c r="A4" s="121">
        <v>1</v>
      </c>
      <c r="B4" s="196">
        <v>2</v>
      </c>
      <c r="C4" s="196"/>
      <c r="D4" s="120">
        <v>3</v>
      </c>
      <c r="E4" s="144">
        <v>4</v>
      </c>
      <c r="F4" s="212">
        <v>5</v>
      </c>
      <c r="H4" s="211">
        <v>1</v>
      </c>
      <c r="J4" s="159"/>
      <c r="K4" s="159"/>
      <c r="L4" s="159"/>
    </row>
    <row r="5" spans="1:12" ht="15.75" x14ac:dyDescent="0.25">
      <c r="A5" s="201" t="s">
        <v>64</v>
      </c>
      <c r="B5" s="122" t="s">
        <v>56</v>
      </c>
      <c r="C5" s="122"/>
      <c r="D5" s="152">
        <v>810</v>
      </c>
      <c r="E5" s="153">
        <f>IF(D5*$H$3&gt;=L5,L5,D5*$H$3)</f>
        <v>874.80000000000007</v>
      </c>
      <c r="F5" s="213">
        <f>IF(D5*$H$4&gt;=L5,L5,D5*$H$4)</f>
        <v>810</v>
      </c>
      <c r="J5" s="159"/>
      <c r="K5" s="159"/>
      <c r="L5" s="159">
        <v>1204.8699999999999</v>
      </c>
    </row>
    <row r="6" spans="1:12" ht="15.75" x14ac:dyDescent="0.25">
      <c r="A6" s="202"/>
      <c r="B6" s="122" t="s">
        <v>57</v>
      </c>
      <c r="C6" s="122"/>
      <c r="D6" s="152">
        <v>1095</v>
      </c>
      <c r="E6" s="153">
        <f t="shared" ref="E6:E11" si="0">IF(D6*$H$3&gt;=L6,L6,D6*$H$3)</f>
        <v>1182.6000000000001</v>
      </c>
      <c r="F6" s="213">
        <f t="shared" ref="F6:F11" si="1">IF(D6*$H$4&gt;=L6,L6,D6*$H$4)</f>
        <v>1095</v>
      </c>
      <c r="J6" s="159"/>
      <c r="K6" s="159"/>
      <c r="L6" s="159">
        <v>2009.97</v>
      </c>
    </row>
    <row r="7" spans="1:12" ht="15.75" x14ac:dyDescent="0.25">
      <c r="A7" s="203"/>
      <c r="B7" s="122" t="s">
        <v>58</v>
      </c>
      <c r="C7" s="122"/>
      <c r="D7" s="152">
        <v>1438</v>
      </c>
      <c r="E7" s="153">
        <f t="shared" si="0"/>
        <v>1553.0400000000002</v>
      </c>
      <c r="F7" s="213">
        <f t="shared" si="1"/>
        <v>1438</v>
      </c>
      <c r="J7" s="159"/>
      <c r="K7" s="159"/>
      <c r="L7" s="159">
        <v>2411.94</v>
      </c>
    </row>
    <row r="8" spans="1:12" ht="15.75" x14ac:dyDescent="0.25">
      <c r="A8" s="123" t="s">
        <v>60</v>
      </c>
      <c r="B8" s="122" t="s">
        <v>59</v>
      </c>
      <c r="C8" s="122"/>
      <c r="D8" s="152">
        <v>675</v>
      </c>
      <c r="E8" s="153">
        <f t="shared" si="0"/>
        <v>729</v>
      </c>
      <c r="F8" s="213">
        <f t="shared" si="1"/>
        <v>675</v>
      </c>
      <c r="J8" s="159"/>
      <c r="K8" s="159"/>
      <c r="L8" s="159">
        <v>2813.88</v>
      </c>
    </row>
    <row r="9" spans="1:12" ht="30" x14ac:dyDescent="0.25">
      <c r="A9" s="124" t="s">
        <v>23</v>
      </c>
      <c r="B9" s="197" t="s">
        <v>61</v>
      </c>
      <c r="C9" s="198"/>
      <c r="D9" s="152">
        <v>542</v>
      </c>
      <c r="E9" s="153">
        <f t="shared" si="0"/>
        <v>585.36</v>
      </c>
      <c r="F9" s="213">
        <f t="shared" si="1"/>
        <v>542</v>
      </c>
      <c r="J9" s="159"/>
      <c r="K9" s="159"/>
      <c r="L9" s="159">
        <v>2411.94</v>
      </c>
    </row>
    <row r="10" spans="1:12" ht="15.75" x14ac:dyDescent="0.25">
      <c r="A10" s="199" t="s">
        <v>27</v>
      </c>
      <c r="B10" s="122" t="s">
        <v>62</v>
      </c>
      <c r="C10" s="122"/>
      <c r="D10" s="152">
        <v>1000</v>
      </c>
      <c r="E10" s="153">
        <f t="shared" si="0"/>
        <v>1080</v>
      </c>
      <c r="F10" s="213">
        <f t="shared" si="1"/>
        <v>1000</v>
      </c>
      <c r="J10" s="159"/>
      <c r="K10" s="159"/>
      <c r="L10" s="159">
        <v>2848.04</v>
      </c>
    </row>
    <row r="11" spans="1:12" ht="15.75" x14ac:dyDescent="0.25">
      <c r="A11" s="200"/>
      <c r="B11" s="122" t="s">
        <v>63</v>
      </c>
      <c r="C11" s="122"/>
      <c r="D11" s="152">
        <v>1191</v>
      </c>
      <c r="E11" s="153">
        <f t="shared" si="0"/>
        <v>1286.28</v>
      </c>
      <c r="F11" s="213">
        <f t="shared" si="1"/>
        <v>1191</v>
      </c>
      <c r="J11" s="159"/>
      <c r="K11" s="159"/>
      <c r="L11" s="159">
        <v>3600.69</v>
      </c>
    </row>
    <row r="12" spans="1:12" ht="23.25" x14ac:dyDescent="0.35">
      <c r="A12" s="59"/>
      <c r="B12" s="59"/>
      <c r="C12" s="59"/>
      <c r="D12" s="59"/>
      <c r="E12" s="59"/>
      <c r="J12" s="159"/>
      <c r="K12" s="159"/>
      <c r="L12" s="159"/>
    </row>
    <row r="13" spans="1:12" ht="49.5" customHeight="1" x14ac:dyDescent="0.25">
      <c r="B13" s="204" t="s">
        <v>40</v>
      </c>
      <c r="C13" s="204"/>
      <c r="D13" s="204"/>
      <c r="E13" s="204"/>
      <c r="F13" s="204"/>
      <c r="G13" s="204"/>
      <c r="J13" s="159"/>
      <c r="K13" s="159"/>
      <c r="L13" s="159"/>
    </row>
    <row r="14" spans="1:12" x14ac:dyDescent="0.25">
      <c r="A14" s="188" t="s">
        <v>38</v>
      </c>
      <c r="B14" s="189"/>
      <c r="C14" s="190" t="s">
        <v>39</v>
      </c>
      <c r="D14" s="191"/>
      <c r="E14" s="191"/>
      <c r="F14" s="191"/>
      <c r="G14" s="11"/>
      <c r="H14" s="12"/>
      <c r="J14" s="159"/>
      <c r="K14" s="159"/>
      <c r="L14" s="159"/>
    </row>
    <row r="15" spans="1:12" ht="62.25" customHeight="1" x14ac:dyDescent="0.25">
      <c r="A15" s="5" t="s">
        <v>33</v>
      </c>
      <c r="B15" s="6" t="s">
        <v>34</v>
      </c>
      <c r="C15" s="5" t="s">
        <v>84</v>
      </c>
      <c r="D15" s="5" t="s">
        <v>85</v>
      </c>
      <c r="E15" s="138" t="s">
        <v>99</v>
      </c>
      <c r="F15" s="138" t="s">
        <v>100</v>
      </c>
      <c r="G15" s="140" t="s">
        <v>108</v>
      </c>
      <c r="H15" s="140" t="s">
        <v>109</v>
      </c>
      <c r="J15" s="159"/>
      <c r="K15" s="159"/>
      <c r="L15" s="159"/>
    </row>
    <row r="16" spans="1:12" x14ac:dyDescent="0.25">
      <c r="A16" s="8">
        <v>1</v>
      </c>
      <c r="B16" s="9">
        <v>2</v>
      </c>
      <c r="C16" s="8">
        <v>3</v>
      </c>
      <c r="D16" s="8">
        <v>4</v>
      </c>
      <c r="E16" s="139">
        <v>5</v>
      </c>
      <c r="F16" s="139">
        <v>6</v>
      </c>
      <c r="G16" s="141">
        <v>5</v>
      </c>
      <c r="H16" s="141">
        <v>6</v>
      </c>
      <c r="J16" s="159"/>
      <c r="K16" s="159"/>
      <c r="L16" s="159"/>
    </row>
    <row r="17" spans="1:12" x14ac:dyDescent="0.25">
      <c r="A17" s="192" t="s">
        <v>35</v>
      </c>
      <c r="B17" s="193"/>
      <c r="C17" s="193"/>
      <c r="D17" s="193"/>
      <c r="E17" s="193"/>
      <c r="F17" s="193"/>
      <c r="G17" s="193"/>
      <c r="H17" s="194"/>
      <c r="J17" s="159"/>
      <c r="K17" s="159"/>
      <c r="L17" s="159"/>
    </row>
    <row r="18" spans="1:12" x14ac:dyDescent="0.25">
      <c r="A18" s="6">
        <v>12</v>
      </c>
      <c r="B18" s="6">
        <v>13</v>
      </c>
      <c r="C18" s="10">
        <v>1800</v>
      </c>
      <c r="D18" s="10">
        <v>2522</v>
      </c>
      <c r="E18" s="7">
        <f>IF(C18*$H$3&gt;=$L$18,$L$18,IF(C18*$H$3&lt;=J18,J18,C18*$H$3))</f>
        <v>1944.0000000000002</v>
      </c>
      <c r="F18" s="7">
        <f>IF(D18*$H$3&gt;=$L$18,$L$18,IF(D18*$H$3&lt;=K18,K18,D18*$H$3))</f>
        <v>2723.76</v>
      </c>
      <c r="G18" s="7">
        <f>IF(C18*$H$4&gt;=$L$18,$L$18,IF(C18*$H$4&lt;=J18,J18,C18*$H$4))</f>
        <v>1800</v>
      </c>
      <c r="H18" s="7">
        <f>IF(D18*$H$4&gt;=$L$18,$L$18,IF(D18*$H$4&lt;=K18,K18,D18*$H$4))</f>
        <v>2522</v>
      </c>
      <c r="J18" s="159">
        <v>0</v>
      </c>
      <c r="K18" s="159">
        <v>146.51</v>
      </c>
      <c r="L18" s="159">
        <v>4602.58</v>
      </c>
    </row>
    <row r="19" spans="1:12" x14ac:dyDescent="0.25">
      <c r="A19" s="6">
        <v>13</v>
      </c>
      <c r="B19" s="6">
        <v>14</v>
      </c>
      <c r="C19" s="10">
        <v>1800</v>
      </c>
      <c r="D19" s="10">
        <v>2522</v>
      </c>
      <c r="E19" s="7">
        <f t="shared" ref="E19:E21" si="2">IF(C19*$H$3&gt;=$L$18,$L$18,IF(C19*$H$3&lt;=J19,J19,C19*$H$3))</f>
        <v>1944.0000000000002</v>
      </c>
      <c r="F19" s="7">
        <f t="shared" ref="F19:F21" si="3">IF(D19*$H$3&gt;=$L$18,$L$18,IF(D19*$H$3&lt;=K19,K19,D19*$H$3))</f>
        <v>2723.76</v>
      </c>
      <c r="G19" s="7">
        <f t="shared" ref="G19:G21" si="4">IF(C19*$H$4&gt;=$L$18,$L$18,IF(C19*$H$4&lt;=J19,J19,C19*$H$4))</f>
        <v>1800</v>
      </c>
      <c r="H19" s="7">
        <f t="shared" ref="H19:H21" si="5">IF(D19*$H$4&gt;=$L$18,$L$18,IF(D19*$H$4&lt;=K19,K19,D19*$H$4))</f>
        <v>2522</v>
      </c>
      <c r="J19" s="159">
        <v>146.51</v>
      </c>
      <c r="K19" s="159">
        <v>404.88</v>
      </c>
      <c r="L19" s="159"/>
    </row>
    <row r="20" spans="1:12" x14ac:dyDescent="0.25">
      <c r="A20" s="6">
        <v>14</v>
      </c>
      <c r="B20" s="6">
        <v>15</v>
      </c>
      <c r="C20" s="10">
        <v>1800</v>
      </c>
      <c r="D20" s="10">
        <v>2522</v>
      </c>
      <c r="E20" s="7">
        <f t="shared" si="2"/>
        <v>1944.0000000000002</v>
      </c>
      <c r="F20" s="7">
        <f t="shared" si="3"/>
        <v>2723.76</v>
      </c>
      <c r="G20" s="7">
        <f t="shared" si="4"/>
        <v>1800</v>
      </c>
      <c r="H20" s="7">
        <f t="shared" si="5"/>
        <v>2522</v>
      </c>
      <c r="J20" s="159">
        <v>404.88</v>
      </c>
      <c r="K20" s="159">
        <v>570.39</v>
      </c>
      <c r="L20" s="159"/>
    </row>
    <row r="21" spans="1:12" x14ac:dyDescent="0.25">
      <c r="A21" s="6">
        <v>15</v>
      </c>
      <c r="B21" s="6"/>
      <c r="C21" s="10">
        <v>1800</v>
      </c>
      <c r="D21" s="10">
        <v>2522</v>
      </c>
      <c r="E21" s="7">
        <f t="shared" si="2"/>
        <v>1944.0000000000002</v>
      </c>
      <c r="F21" s="7">
        <f t="shared" si="3"/>
        <v>2723.76</v>
      </c>
      <c r="G21" s="7">
        <f t="shared" si="4"/>
        <v>1800</v>
      </c>
      <c r="H21" s="7">
        <f t="shared" si="5"/>
        <v>2522</v>
      </c>
      <c r="J21" s="159">
        <v>570.39</v>
      </c>
      <c r="K21" s="159">
        <v>1290.78</v>
      </c>
      <c r="L21" s="159"/>
    </row>
    <row r="22" spans="1:12" x14ac:dyDescent="0.25">
      <c r="A22" s="192" t="s">
        <v>36</v>
      </c>
      <c r="B22" s="193"/>
      <c r="C22" s="193"/>
      <c r="D22" s="193"/>
      <c r="E22" s="193"/>
      <c r="F22" s="193"/>
      <c r="G22" s="193"/>
      <c r="H22" s="193"/>
      <c r="J22" s="159"/>
      <c r="K22" s="159"/>
      <c r="L22" s="159"/>
    </row>
    <row r="23" spans="1:12" x14ac:dyDescent="0.25">
      <c r="A23" s="6">
        <v>12</v>
      </c>
      <c r="B23" s="6">
        <v>17</v>
      </c>
      <c r="C23" s="10">
        <v>1980</v>
      </c>
      <c r="D23" s="10">
        <v>2704</v>
      </c>
      <c r="E23" s="7">
        <f t="shared" ref="E23" si="6">IF(C23*$H$3&gt;=$L$18,$L$18,IF(C23*$H$3&lt;=J23,J23,C23*$H$3))</f>
        <v>2138.4</v>
      </c>
      <c r="F23" s="7">
        <f t="shared" ref="F23" si="7">IF(D23*$H$3&gt;=$L$18,$L$18,IF(D23*$H$3&lt;=K23,K23,D23*$H$3))</f>
        <v>2920.32</v>
      </c>
      <c r="G23" s="7">
        <f t="shared" ref="G23" si="8">IF(C23*$H$4&gt;=$L$18,$L$18,IF(C23*$H$4&lt;=J23,J23,C23*$H$4))</f>
        <v>1980</v>
      </c>
      <c r="H23" s="7">
        <f t="shared" ref="H23" si="9">IF(D23*$H$4&gt;=$L$18,$L$18,IF(D23*$H$4&lt;=K23,K23,D23*$H$4))</f>
        <v>2704</v>
      </c>
      <c r="J23" s="159">
        <v>146.51</v>
      </c>
      <c r="K23" s="159">
        <v>254.84</v>
      </c>
      <c r="L23" s="159"/>
    </row>
    <row r="24" spans="1:12" x14ac:dyDescent="0.25">
      <c r="A24" s="6">
        <v>17</v>
      </c>
      <c r="B24" s="6">
        <v>19</v>
      </c>
      <c r="C24" s="10">
        <v>1980</v>
      </c>
      <c r="D24" s="10">
        <v>2704</v>
      </c>
      <c r="E24" s="7">
        <f t="shared" ref="E24:E28" si="10">IF(C24*$H$3&gt;=$L$18,$L$18,IF(C24*$H$3&lt;=J24,J24,C24*$H$3))</f>
        <v>2138.4</v>
      </c>
      <c r="F24" s="7">
        <f t="shared" ref="F24:F28" si="11">IF(D24*$H$3&gt;=$L$18,$L$18,IF(D24*$H$3&lt;=K24,K24,D24*$H$3))</f>
        <v>2920.32</v>
      </c>
      <c r="G24" s="7">
        <f t="shared" ref="G24:G28" si="12">IF(C24*$H$4&gt;=$L$18,$L$18,IF(C24*$H$4&lt;=J24,J24,C24*$H$4))</f>
        <v>1980</v>
      </c>
      <c r="H24" s="7">
        <f t="shared" ref="H24:H28" si="13">IF(D24*$H$4&gt;=$L$18,$L$18,IF(D24*$H$4&lt;=K24,K24,D24*$H$4))</f>
        <v>2704</v>
      </c>
      <c r="J24" s="159">
        <v>254.84</v>
      </c>
      <c r="K24" s="159">
        <v>522.74</v>
      </c>
      <c r="L24" s="159"/>
    </row>
    <row r="25" spans="1:12" x14ac:dyDescent="0.25">
      <c r="A25" s="6">
        <v>19</v>
      </c>
      <c r="B25" s="6">
        <v>21</v>
      </c>
      <c r="C25" s="10">
        <v>1980</v>
      </c>
      <c r="D25" s="10">
        <v>2704</v>
      </c>
      <c r="E25" s="7">
        <f t="shared" si="10"/>
        <v>2138.4</v>
      </c>
      <c r="F25" s="7">
        <f t="shared" si="11"/>
        <v>2920.32</v>
      </c>
      <c r="G25" s="7">
        <f t="shared" si="12"/>
        <v>1980</v>
      </c>
      <c r="H25" s="7">
        <f t="shared" si="13"/>
        <v>2704</v>
      </c>
      <c r="J25" s="159">
        <v>522.74</v>
      </c>
      <c r="K25" s="159">
        <v>678.75</v>
      </c>
      <c r="L25" s="159"/>
    </row>
    <row r="26" spans="1:12" x14ac:dyDescent="0.25">
      <c r="A26" s="6">
        <v>21</v>
      </c>
      <c r="B26" s="6">
        <v>23</v>
      </c>
      <c r="C26" s="10">
        <v>1980</v>
      </c>
      <c r="D26" s="10">
        <v>2704</v>
      </c>
      <c r="E26" s="7">
        <f t="shared" si="10"/>
        <v>2138.4</v>
      </c>
      <c r="F26" s="7">
        <f t="shared" si="11"/>
        <v>2920.32</v>
      </c>
      <c r="G26" s="7">
        <f t="shared" si="12"/>
        <v>1980</v>
      </c>
      <c r="H26" s="7">
        <f t="shared" si="13"/>
        <v>2704</v>
      </c>
      <c r="J26" s="159">
        <v>678.75</v>
      </c>
      <c r="K26" s="159">
        <v>1045.46</v>
      </c>
      <c r="L26" s="159"/>
    </row>
    <row r="27" spans="1:12" x14ac:dyDescent="0.25">
      <c r="A27" s="6">
        <v>23</v>
      </c>
      <c r="B27" s="6">
        <v>25</v>
      </c>
      <c r="C27" s="10">
        <v>1980</v>
      </c>
      <c r="D27" s="10">
        <v>2845</v>
      </c>
      <c r="E27" s="7">
        <f t="shared" si="10"/>
        <v>2138.4</v>
      </c>
      <c r="F27" s="7">
        <f t="shared" si="11"/>
        <v>3072.6000000000004</v>
      </c>
      <c r="G27" s="7">
        <f t="shared" si="12"/>
        <v>1980</v>
      </c>
      <c r="H27" s="7">
        <f t="shared" si="13"/>
        <v>2845</v>
      </c>
      <c r="J27" s="159">
        <v>1045.46</v>
      </c>
      <c r="K27" s="159">
        <v>1625.35</v>
      </c>
      <c r="L27" s="159"/>
    </row>
    <row r="28" spans="1:12" x14ac:dyDescent="0.25">
      <c r="A28" s="6">
        <v>25</v>
      </c>
      <c r="B28" s="6"/>
      <c r="C28" s="10">
        <v>1980</v>
      </c>
      <c r="D28" s="10">
        <v>2845</v>
      </c>
      <c r="E28" s="7">
        <f t="shared" si="10"/>
        <v>2138.4</v>
      </c>
      <c r="F28" s="7">
        <f t="shared" si="11"/>
        <v>3072.6000000000004</v>
      </c>
      <c r="G28" s="7">
        <f t="shared" si="12"/>
        <v>1980</v>
      </c>
      <c r="H28" s="7">
        <f t="shared" si="13"/>
        <v>2845</v>
      </c>
      <c r="J28" s="159">
        <v>1045.46</v>
      </c>
      <c r="K28" s="159">
        <v>1625.35</v>
      </c>
      <c r="L28" s="159"/>
    </row>
    <row r="29" spans="1:12" x14ac:dyDescent="0.25">
      <c r="A29" s="192" t="s">
        <v>37</v>
      </c>
      <c r="B29" s="193"/>
      <c r="C29" s="193"/>
      <c r="D29" s="193"/>
      <c r="E29" s="193"/>
      <c r="F29" s="193"/>
      <c r="G29" s="193"/>
      <c r="H29" s="193"/>
      <c r="J29" s="159"/>
      <c r="K29" s="159"/>
      <c r="L29" s="159"/>
    </row>
    <row r="30" spans="1:12" x14ac:dyDescent="0.25">
      <c r="A30" s="6">
        <v>12</v>
      </c>
      <c r="B30" s="6">
        <v>25</v>
      </c>
      <c r="C30" s="10">
        <v>2704</v>
      </c>
      <c r="D30" s="10">
        <v>3901</v>
      </c>
      <c r="E30" s="7">
        <f t="shared" ref="E30" si="14">IF(C30*$H$3&gt;=$L$18,$L$18,IF(C30*$H$3&lt;=J30,J30,C30*$H$3))</f>
        <v>2920.32</v>
      </c>
      <c r="F30" s="7">
        <f t="shared" ref="F30" si="15">IF(D30*$H$3&gt;=$L$18,$L$18,IF(D30*$H$3&lt;=K30,K30,D30*$H$3))</f>
        <v>4213.08</v>
      </c>
      <c r="G30" s="7">
        <f t="shared" ref="G30" si="16">IF(C30*$H$4&gt;=$L$18,$L$18,IF(C30*$H$4&lt;=J30,J30,C30*$H$4))</f>
        <v>2704</v>
      </c>
      <c r="H30" s="7">
        <f t="shared" ref="H30" si="17">IF(D30*$H$4&gt;=$L$18,$L$18,IF(D30*$H$4&lt;=K30,K30,D30*$H$4))</f>
        <v>3901</v>
      </c>
      <c r="J30" s="159">
        <v>678.75</v>
      </c>
      <c r="K30" s="159">
        <v>688.28</v>
      </c>
      <c r="L30" s="159"/>
    </row>
    <row r="31" spans="1:12" x14ac:dyDescent="0.25">
      <c r="A31" s="6">
        <v>25</v>
      </c>
      <c r="B31" s="6">
        <v>27</v>
      </c>
      <c r="C31" s="10">
        <v>2704</v>
      </c>
      <c r="D31" s="10">
        <v>3901</v>
      </c>
      <c r="E31" s="7">
        <f t="shared" ref="E31:E34" si="18">IF(C31*$H$3&gt;=$L$18,$L$18,IF(C31*$H$3&lt;=J31,J31,C31*$H$3))</f>
        <v>2920.32</v>
      </c>
      <c r="F31" s="7">
        <f t="shared" ref="F31:F34" si="19">IF(D31*$H$3&gt;=$L$18,$L$18,IF(D31*$H$3&lt;=K31,K31,D31*$H$3))</f>
        <v>4213.08</v>
      </c>
      <c r="G31" s="7">
        <f t="shared" ref="G31:G34" si="20">IF(C31*$H$4&gt;=$L$18,$L$18,IF(C31*$H$4&lt;=J31,J31,C31*$H$4))</f>
        <v>2704</v>
      </c>
      <c r="H31" s="7">
        <f t="shared" ref="H31:H34" si="21">IF(D31*$H$4&gt;=$L$18,$L$18,IF(D31*$H$4&lt;=K31,K31,D31*$H$4))</f>
        <v>3901</v>
      </c>
      <c r="J31" s="159">
        <v>688.28</v>
      </c>
      <c r="K31" s="159">
        <v>1074.04</v>
      </c>
      <c r="L31" s="159"/>
    </row>
    <row r="32" spans="1:12" x14ac:dyDescent="0.25">
      <c r="A32" s="6">
        <v>27</v>
      </c>
      <c r="B32" s="6">
        <v>29</v>
      </c>
      <c r="C32" s="10">
        <v>2704</v>
      </c>
      <c r="D32" s="10">
        <v>3901</v>
      </c>
      <c r="E32" s="7">
        <f t="shared" si="18"/>
        <v>2920.32</v>
      </c>
      <c r="F32" s="7">
        <f t="shared" si="19"/>
        <v>4213.08</v>
      </c>
      <c r="G32" s="7">
        <f t="shared" si="20"/>
        <v>2704</v>
      </c>
      <c r="H32" s="7">
        <f t="shared" si="21"/>
        <v>3901</v>
      </c>
      <c r="J32" s="159">
        <v>1074.04</v>
      </c>
      <c r="K32" s="159">
        <v>1705.12</v>
      </c>
      <c r="L32" s="159"/>
    </row>
    <row r="33" spans="1:12" x14ac:dyDescent="0.25">
      <c r="A33" s="6">
        <v>29</v>
      </c>
      <c r="B33" s="6">
        <v>31</v>
      </c>
      <c r="C33" s="10">
        <v>2993</v>
      </c>
      <c r="D33" s="10">
        <v>4136</v>
      </c>
      <c r="E33" s="7">
        <f t="shared" si="18"/>
        <v>3232.44</v>
      </c>
      <c r="F33" s="7">
        <f t="shared" si="19"/>
        <v>4466.88</v>
      </c>
      <c r="G33" s="7">
        <f t="shared" si="20"/>
        <v>2993</v>
      </c>
      <c r="H33" s="7">
        <f t="shared" si="21"/>
        <v>4136</v>
      </c>
      <c r="J33" s="159">
        <v>1705.12</v>
      </c>
      <c r="K33" s="159">
        <v>2529.1</v>
      </c>
      <c r="L33" s="159"/>
    </row>
    <row r="34" spans="1:12" x14ac:dyDescent="0.25">
      <c r="A34" s="6">
        <v>31</v>
      </c>
      <c r="B34" s="6"/>
      <c r="C34" s="10">
        <v>2993</v>
      </c>
      <c r="D34" s="10">
        <v>4136</v>
      </c>
      <c r="E34" s="7">
        <f t="shared" si="18"/>
        <v>3232.44</v>
      </c>
      <c r="F34" s="209">
        <f t="shared" si="19"/>
        <v>4466.88</v>
      </c>
      <c r="G34" s="209">
        <f t="shared" si="20"/>
        <v>2993</v>
      </c>
      <c r="H34" s="209">
        <f t="shared" si="21"/>
        <v>4136</v>
      </c>
      <c r="J34" s="159">
        <v>1705.12</v>
      </c>
      <c r="K34" s="159">
        <v>2529.1</v>
      </c>
      <c r="L34" s="159"/>
    </row>
    <row r="35" spans="1:12" x14ac:dyDescent="0.25">
      <c r="F35" s="210"/>
      <c r="G35" s="210"/>
      <c r="H35" s="210"/>
      <c r="J35" s="159"/>
      <c r="K35" s="159"/>
      <c r="L35" s="159"/>
    </row>
    <row r="36" spans="1:12" ht="49.5" customHeight="1" x14ac:dyDescent="0.25">
      <c r="B36" s="204" t="s">
        <v>46</v>
      </c>
      <c r="C36" s="204"/>
      <c r="D36" s="204"/>
      <c r="E36" s="204"/>
      <c r="F36" s="204"/>
      <c r="G36" s="204"/>
      <c r="J36" s="159"/>
      <c r="K36" s="159"/>
      <c r="L36" s="159"/>
    </row>
    <row r="37" spans="1:12" x14ac:dyDescent="0.25">
      <c r="A37" s="188" t="s">
        <v>43</v>
      </c>
      <c r="B37" s="189"/>
      <c r="C37" s="190" t="s">
        <v>39</v>
      </c>
      <c r="D37" s="191"/>
      <c r="E37" s="191"/>
      <c r="F37" s="191"/>
      <c r="G37" s="11"/>
      <c r="H37" s="12"/>
      <c r="J37" s="159"/>
      <c r="K37" s="159"/>
      <c r="L37" s="159"/>
    </row>
    <row r="38" spans="1:12" ht="60" x14ac:dyDescent="0.25">
      <c r="A38" s="5" t="s">
        <v>33</v>
      </c>
      <c r="B38" s="6" t="s">
        <v>34</v>
      </c>
      <c r="C38" s="5" t="s">
        <v>84</v>
      </c>
      <c r="D38" s="5" t="s">
        <v>85</v>
      </c>
      <c r="E38" s="138" t="str">
        <f>E15</f>
        <v>oś jezdna (osie jezdne) z zawieszeniem pneumatycznym lub zawieszeniem uznanym za równoważne - 2025 (wzrost o 8%)</v>
      </c>
      <c r="F38" s="138" t="str">
        <f>F15</f>
        <v>inne systemy zawieszenia osi jezdnych - 2025 (wzrost o 8%)</v>
      </c>
      <c r="G38" s="140" t="str">
        <f>G15</f>
        <v>oś jezdna (osie jezdne) z zawieszeniem pneumatycznym lub zawieszeniem uznanym za równoważne - 2025 (wzrost o ...)</v>
      </c>
      <c r="H38" s="140" t="str">
        <f>H15</f>
        <v>inne systemy zawieszenia osi jezdnych - 2025 (wzrost o ...)</v>
      </c>
      <c r="J38" s="159"/>
      <c r="K38" s="159"/>
      <c r="L38" s="159"/>
    </row>
    <row r="39" spans="1:12" x14ac:dyDescent="0.25">
      <c r="A39" s="8">
        <v>1</v>
      </c>
      <c r="B39" s="9">
        <v>2</v>
      </c>
      <c r="C39" s="8">
        <v>3</v>
      </c>
      <c r="D39" s="8">
        <v>4</v>
      </c>
      <c r="E39" s="139">
        <v>5</v>
      </c>
      <c r="F39" s="139">
        <v>6</v>
      </c>
      <c r="G39" s="141">
        <v>5</v>
      </c>
      <c r="H39" s="141">
        <v>6</v>
      </c>
      <c r="J39" s="159"/>
      <c r="K39" s="159"/>
      <c r="L39" s="159"/>
    </row>
    <row r="40" spans="1:12" x14ac:dyDescent="0.25">
      <c r="A40" s="192" t="s">
        <v>35</v>
      </c>
      <c r="B40" s="193"/>
      <c r="C40" s="193"/>
      <c r="D40" s="193"/>
      <c r="E40" s="193"/>
      <c r="F40" s="193"/>
      <c r="G40" s="193"/>
      <c r="H40" s="193"/>
      <c r="J40" s="159"/>
      <c r="K40" s="159"/>
      <c r="L40" s="159"/>
    </row>
    <row r="41" spans="1:12" x14ac:dyDescent="0.25">
      <c r="A41" s="6">
        <v>12</v>
      </c>
      <c r="B41" s="6">
        <v>18</v>
      </c>
      <c r="C41" s="10">
        <v>1800</v>
      </c>
      <c r="D41" s="10">
        <v>1800</v>
      </c>
      <c r="E41" s="7">
        <f>IF(C41*$H$3&gt;=$L$41,$L$41,IF(C41*$H$3&lt;=J41,J41,C41*$H$3))</f>
        <v>1944.0000000000002</v>
      </c>
      <c r="F41" s="7">
        <f>IF(D41*$H$3&gt;=$L$41,$L$41,IF(D41*$H$3&lt;=K41,K41,D41*$H$3))</f>
        <v>1944.0000000000002</v>
      </c>
      <c r="G41" s="7">
        <f>IF(C41*$H$4&gt;=$L$41,$L$41,IF(C41*$H$4&lt;=J41,J41,C41*$H$4))</f>
        <v>1800</v>
      </c>
      <c r="H41" s="7">
        <f>IF(D41*$H$4&gt;=$L$41,$L$41,IF(D41*$H$4&lt;=K41,K41,D41*$H$4))</f>
        <v>1800</v>
      </c>
      <c r="J41" s="159">
        <v>0</v>
      </c>
      <c r="K41" s="159">
        <v>39.32</v>
      </c>
      <c r="L41" s="159">
        <v>3557.48</v>
      </c>
    </row>
    <row r="42" spans="1:12" x14ac:dyDescent="0.25">
      <c r="A42" s="6">
        <v>18</v>
      </c>
      <c r="B42" s="6">
        <v>25</v>
      </c>
      <c r="C42" s="10">
        <v>2162</v>
      </c>
      <c r="D42" s="10">
        <v>2162</v>
      </c>
      <c r="E42" s="7">
        <f t="shared" ref="E42:E44" si="22">IF(C42*$H$3&gt;=$L$41,$L$41,IF(C42*$H$3&lt;=J42,J42,C42*$H$3))</f>
        <v>2334.96</v>
      </c>
      <c r="F42" s="7">
        <f t="shared" ref="F42:F44" si="23">IF(D42*$H$3&gt;=$L$41,$L$41,IF(D42*$H$3&lt;=K42,K42,D42*$H$3))</f>
        <v>2334.96</v>
      </c>
      <c r="G42" s="7">
        <f t="shared" ref="G42:G44" si="24">IF(C42*$H$4&gt;=$L$41,$L$41,IF(C42*$H$4&lt;=J42,J42,C42*$H$4))</f>
        <v>2162</v>
      </c>
      <c r="H42" s="7">
        <f t="shared" ref="H42:H44" si="25">IF(D42*$H$4&gt;=$L$41,$L$41,IF(D42*$H$4&lt;=K42,K42,D42*$H$4))</f>
        <v>2162</v>
      </c>
      <c r="J42" s="159">
        <v>273.92</v>
      </c>
      <c r="K42" s="159">
        <v>495.37</v>
      </c>
      <c r="L42" s="159"/>
    </row>
    <row r="43" spans="1:12" x14ac:dyDescent="0.25">
      <c r="A43" s="6">
        <v>25</v>
      </c>
      <c r="B43" s="6">
        <v>31</v>
      </c>
      <c r="C43" s="10">
        <v>2246</v>
      </c>
      <c r="D43" s="10">
        <v>2246</v>
      </c>
      <c r="E43" s="7">
        <f t="shared" si="22"/>
        <v>2425.6800000000003</v>
      </c>
      <c r="F43" s="7">
        <f t="shared" si="23"/>
        <v>2425.6800000000003</v>
      </c>
      <c r="G43" s="7">
        <f t="shared" si="24"/>
        <v>2246</v>
      </c>
      <c r="H43" s="7">
        <f t="shared" si="25"/>
        <v>2246</v>
      </c>
      <c r="J43" s="159">
        <v>577.53</v>
      </c>
      <c r="K43" s="159">
        <v>947.85</v>
      </c>
      <c r="L43" s="159"/>
    </row>
    <row r="44" spans="1:12" x14ac:dyDescent="0.25">
      <c r="A44" s="6">
        <v>31</v>
      </c>
      <c r="B44" s="6"/>
      <c r="C44" s="10">
        <v>2558</v>
      </c>
      <c r="D44" s="10">
        <v>3197</v>
      </c>
      <c r="E44" s="7">
        <f t="shared" si="22"/>
        <v>2762.6400000000003</v>
      </c>
      <c r="F44" s="7">
        <f t="shared" si="23"/>
        <v>3452.76</v>
      </c>
      <c r="G44" s="7">
        <f t="shared" si="24"/>
        <v>2558</v>
      </c>
      <c r="H44" s="7">
        <f t="shared" si="25"/>
        <v>3197</v>
      </c>
      <c r="J44" s="159">
        <v>1456.27</v>
      </c>
      <c r="K44" s="159">
        <v>1998.03</v>
      </c>
      <c r="L44" s="159"/>
    </row>
    <row r="45" spans="1:12" x14ac:dyDescent="0.25">
      <c r="A45" s="192" t="s">
        <v>41</v>
      </c>
      <c r="B45" s="193"/>
      <c r="C45" s="193"/>
      <c r="D45" s="193"/>
      <c r="E45" s="193"/>
      <c r="F45" s="193"/>
      <c r="G45" s="193"/>
      <c r="H45" s="193"/>
      <c r="J45" s="159"/>
      <c r="K45" s="159"/>
      <c r="L45" s="159"/>
    </row>
    <row r="46" spans="1:12" x14ac:dyDescent="0.25">
      <c r="A46" s="6">
        <v>12</v>
      </c>
      <c r="B46" s="6">
        <v>40</v>
      </c>
      <c r="C46" s="10">
        <v>2246</v>
      </c>
      <c r="D46" s="10">
        <v>3113</v>
      </c>
      <c r="E46" s="7">
        <f t="shared" ref="E46" si="26">IF(C46*$H$3&gt;=$L$41,$L$41,IF(C46*$H$3&lt;=J46,J46,C46*$H$3))</f>
        <v>2425.6800000000003</v>
      </c>
      <c r="F46" s="7">
        <f t="shared" ref="F46" si="27">IF(D46*$H$3&gt;=$L$41,$L$41,IF(D46*$H$3&lt;=K46,K46,D46*$H$3))</f>
        <v>3362.0400000000004</v>
      </c>
      <c r="G46" s="7">
        <f t="shared" ref="G46" si="28">IF(C46*$H$4&gt;=$L$41,$L$41,IF(C46*$H$4&lt;=J46,J46,C46*$H$4))</f>
        <v>2246</v>
      </c>
      <c r="H46" s="7">
        <f t="shared" ref="H46" si="29">IF(D46*$H$4&gt;=$L$41,$L$41,IF(D46*$H$4&lt;=K46,K46,D46*$H$4))</f>
        <v>3113</v>
      </c>
      <c r="J46" s="159">
        <v>1284.82</v>
      </c>
      <c r="K46" s="159">
        <v>1776.57</v>
      </c>
      <c r="L46" s="159"/>
    </row>
    <row r="47" spans="1:12" x14ac:dyDescent="0.25">
      <c r="A47" s="6">
        <v>40</v>
      </c>
      <c r="B47" s="6"/>
      <c r="C47" s="165">
        <v>3108</v>
      </c>
      <c r="D47" s="165">
        <v>4136</v>
      </c>
      <c r="E47" s="165">
        <f>IF(C47*$H$3&gt;=$L$47,$L$47,IF(C47*$H$3&lt;=J47,J47,C47*$H$3))</f>
        <v>3356.6400000000003</v>
      </c>
      <c r="F47" s="165">
        <f>IF(D47*$H$3&gt;=$L$47,$L$47,IF(D47*$H$3&lt;=K47,K47,D47*$H$3))</f>
        <v>4466.88</v>
      </c>
      <c r="G47" s="165">
        <f>IF(C47*$H$4&gt;=$L$47,$L$47,IF(C47*$H$4&lt;=J47,J47,C47*$H$4))</f>
        <v>3108</v>
      </c>
      <c r="H47" s="165">
        <f>IF(D47*$H$4&gt;=$L$47,$L$47,IF(D47*$H$4&lt;=K47,K47,D47*$H$4))</f>
        <v>4136</v>
      </c>
      <c r="J47" s="159">
        <v>1776.57</v>
      </c>
      <c r="K47" s="159">
        <v>2627.92</v>
      </c>
      <c r="L47" s="159">
        <v>4602.58</v>
      </c>
    </row>
    <row r="48" spans="1:12" x14ac:dyDescent="0.25">
      <c r="J48" s="159"/>
      <c r="K48" s="159"/>
      <c r="L48" s="159"/>
    </row>
    <row r="49" spans="1:12" ht="45" customHeight="1" x14ac:dyDescent="0.25">
      <c r="B49" s="204" t="s">
        <v>47</v>
      </c>
      <c r="C49" s="204"/>
      <c r="D49" s="204"/>
      <c r="E49" s="204"/>
      <c r="F49" s="204"/>
      <c r="G49" s="204"/>
      <c r="J49" s="159"/>
      <c r="K49" s="159"/>
      <c r="L49" s="159"/>
    </row>
    <row r="50" spans="1:12" x14ac:dyDescent="0.25">
      <c r="A50" s="188" t="s">
        <v>42</v>
      </c>
      <c r="B50" s="189"/>
      <c r="C50" s="190" t="s">
        <v>39</v>
      </c>
      <c r="D50" s="191"/>
      <c r="E50" s="191"/>
      <c r="F50" s="191"/>
      <c r="G50" s="11"/>
      <c r="H50" s="12"/>
      <c r="J50" s="159"/>
      <c r="K50" s="159"/>
      <c r="L50" s="159"/>
    </row>
    <row r="51" spans="1:12" ht="60" x14ac:dyDescent="0.25">
      <c r="A51" s="5" t="s">
        <v>33</v>
      </c>
      <c r="B51" s="6" t="s">
        <v>34</v>
      </c>
      <c r="C51" s="5" t="s">
        <v>84</v>
      </c>
      <c r="D51" s="5" t="s">
        <v>85</v>
      </c>
      <c r="E51" s="138" t="str">
        <f>E38</f>
        <v>oś jezdna (osie jezdne) z zawieszeniem pneumatycznym lub zawieszeniem uznanym za równoważne - 2025 (wzrost o 8%)</v>
      </c>
      <c r="F51" s="138" t="str">
        <f>F38</f>
        <v>inne systemy zawieszenia osi jezdnych - 2025 (wzrost o 8%)</v>
      </c>
      <c r="G51" s="140" t="str">
        <f>G38</f>
        <v>oś jezdna (osie jezdne) z zawieszeniem pneumatycznym lub zawieszeniem uznanym za równoważne - 2025 (wzrost o ...)</v>
      </c>
      <c r="H51" s="140" t="str">
        <f>H38</f>
        <v>inne systemy zawieszenia osi jezdnych - 2025 (wzrost o ...)</v>
      </c>
      <c r="J51" s="159"/>
      <c r="K51" s="159"/>
      <c r="L51" s="159"/>
    </row>
    <row r="52" spans="1:12" x14ac:dyDescent="0.25">
      <c r="A52" s="8">
        <v>1</v>
      </c>
      <c r="B52" s="9">
        <v>2</v>
      </c>
      <c r="C52" s="8">
        <v>3</v>
      </c>
      <c r="D52" s="8">
        <v>4</v>
      </c>
      <c r="E52" s="139">
        <v>5</v>
      </c>
      <c r="F52" s="139">
        <v>6</v>
      </c>
      <c r="G52" s="141">
        <v>5</v>
      </c>
      <c r="H52" s="141">
        <v>6</v>
      </c>
      <c r="J52" s="159"/>
      <c r="K52" s="159"/>
      <c r="L52" s="159"/>
    </row>
    <row r="53" spans="1:12" x14ac:dyDescent="0.25">
      <c r="A53" s="192" t="s">
        <v>44</v>
      </c>
      <c r="B53" s="193"/>
      <c r="C53" s="193"/>
      <c r="D53" s="193"/>
      <c r="E53" s="193"/>
      <c r="F53" s="193"/>
      <c r="G53" s="193"/>
      <c r="H53" s="193"/>
      <c r="J53" s="159"/>
      <c r="K53" s="159"/>
      <c r="L53" s="159"/>
    </row>
    <row r="54" spans="1:12" x14ac:dyDescent="0.25">
      <c r="A54" s="6">
        <v>12</v>
      </c>
      <c r="B54" s="6">
        <v>18</v>
      </c>
      <c r="C54" s="10">
        <v>1082</v>
      </c>
      <c r="D54" s="10">
        <v>1253</v>
      </c>
      <c r="E54" s="7">
        <f>IF(C54*$H$3&gt;=$L$54,$L$54,IF(C54*$H$3&lt;=J54,J54,C54*$H$3))</f>
        <v>1168.5600000000002</v>
      </c>
      <c r="F54" s="7">
        <f>IF(D54*$H$3&gt;=$L$54,$L$54,IF(D54*$H$3&lt;=K54,K54,D54*$H$3))</f>
        <v>1353.24</v>
      </c>
      <c r="G54" s="7">
        <f>IF(C54*$H$4&gt;=$L$54,$L$54,IF(C54*$H$4&lt;=J54,J54,C54*$H$4))</f>
        <v>1082</v>
      </c>
      <c r="H54" s="7">
        <f>IF(D54*$H$4&gt;=$L$54,$L$54,IF(D54*$H$4&lt;=K54,K54,D54*$H$4))</f>
        <v>1253</v>
      </c>
      <c r="J54" s="159">
        <v>0</v>
      </c>
      <c r="K54" s="159">
        <v>26.25</v>
      </c>
      <c r="L54" s="159">
        <v>2813.88</v>
      </c>
    </row>
    <row r="55" spans="1:12" x14ac:dyDescent="0.25">
      <c r="A55" s="6">
        <v>18</v>
      </c>
      <c r="B55" s="6">
        <v>25</v>
      </c>
      <c r="C55" s="10">
        <v>1258</v>
      </c>
      <c r="D55" s="10">
        <v>1438</v>
      </c>
      <c r="E55" s="7">
        <f t="shared" ref="E55:E56" si="30">IF(C55*$H$3&gt;=$L$54,$L$54,IF(C55*$H$3&lt;=J55,J55,C55*$H$3))</f>
        <v>1358.64</v>
      </c>
      <c r="F55" s="7">
        <f t="shared" ref="F55:F56" si="31">IF(D55*$H$3&gt;=$L$54,$L$54,IF(D55*$H$3&lt;=K55,K55,D55*$H$3))</f>
        <v>1553.0400000000002</v>
      </c>
      <c r="G55" s="7">
        <f t="shared" ref="G55:G56" si="32">IF(C55*$H$4&gt;=$L$54,$L$54,IF(C55*$H$4&lt;=J55,J55,C55*$H$4))</f>
        <v>1258</v>
      </c>
      <c r="H55" s="7">
        <f t="shared" ref="H55:H56" si="33">IF(D55*$H$4&gt;=$L$54,$L$54,IF(D55*$H$4&lt;=K55,K55,D55*$H$4))</f>
        <v>1438</v>
      </c>
      <c r="J55" s="159">
        <v>183.4</v>
      </c>
      <c r="K55" s="159">
        <v>329.86</v>
      </c>
      <c r="L55" s="159"/>
    </row>
    <row r="56" spans="1:12" x14ac:dyDescent="0.25">
      <c r="A56" s="6">
        <v>25</v>
      </c>
      <c r="B56" s="6"/>
      <c r="C56" s="10">
        <v>1438</v>
      </c>
      <c r="D56" s="10">
        <v>1622</v>
      </c>
      <c r="E56" s="7">
        <f t="shared" si="30"/>
        <v>1553.0400000000002</v>
      </c>
      <c r="F56" s="7">
        <f t="shared" si="31"/>
        <v>1751.7600000000002</v>
      </c>
      <c r="G56" s="7">
        <f t="shared" si="32"/>
        <v>1438</v>
      </c>
      <c r="H56" s="7">
        <f t="shared" si="33"/>
        <v>1622</v>
      </c>
      <c r="J56" s="159">
        <v>329.86</v>
      </c>
      <c r="K56" s="159">
        <v>578.72</v>
      </c>
      <c r="L56" s="159"/>
    </row>
    <row r="57" spans="1:12" x14ac:dyDescent="0.25">
      <c r="A57" s="192" t="s">
        <v>35</v>
      </c>
      <c r="B57" s="193"/>
      <c r="C57" s="193"/>
      <c r="D57" s="193"/>
      <c r="E57" s="193"/>
      <c r="F57" s="193"/>
      <c r="G57" s="193"/>
      <c r="H57" s="193"/>
      <c r="J57" s="159"/>
      <c r="K57" s="159"/>
      <c r="L57" s="159"/>
    </row>
    <row r="58" spans="1:12" x14ac:dyDescent="0.25">
      <c r="A58" s="6">
        <v>12</v>
      </c>
      <c r="B58" s="6">
        <v>28</v>
      </c>
      <c r="C58" s="10">
        <v>1258</v>
      </c>
      <c r="D58" s="10">
        <v>1258</v>
      </c>
      <c r="E58" s="7">
        <f t="shared" ref="E58" si="34">IF(C58*$H$3&gt;=$L$54,$L$54,IF(C58*$H$3&lt;=J58,J58,C58*$H$3))</f>
        <v>1358.64</v>
      </c>
      <c r="F58" s="7">
        <f t="shared" ref="F58" si="35">IF(D58*$H$3&gt;=$L$54,$L$54,IF(D58*$H$3&lt;=K58,K58,D58*$H$3))</f>
        <v>1358.64</v>
      </c>
      <c r="G58" s="7">
        <f t="shared" ref="G58" si="36">IF(C58*$H$4&gt;=$L$54,$L$54,IF(C58*$H$4&lt;=J58,J58,C58*$H$4))</f>
        <v>1258</v>
      </c>
      <c r="H58" s="7">
        <f t="shared" ref="H58" si="37">IF(D58*$H$4&gt;=$L$54,$L$54,IF(D58*$H$4&lt;=K58,K58,D58*$H$4))</f>
        <v>1258</v>
      </c>
      <c r="J58" s="159">
        <v>216.76</v>
      </c>
      <c r="K58" s="159">
        <v>319.16000000000003</v>
      </c>
      <c r="L58" s="159"/>
    </row>
    <row r="59" spans="1:12" x14ac:dyDescent="0.25">
      <c r="A59" s="6">
        <v>28</v>
      </c>
      <c r="B59" s="6">
        <v>33</v>
      </c>
      <c r="C59" s="10">
        <v>1438</v>
      </c>
      <c r="D59" s="10">
        <v>1535</v>
      </c>
      <c r="E59" s="7">
        <f t="shared" ref="E59:E60" si="38">IF(C59*$H$3&gt;=$L$54,$L$54,IF(C59*$H$3&lt;=J59,J59,C59*$H$3))</f>
        <v>1553.0400000000002</v>
      </c>
      <c r="F59" s="7">
        <f t="shared" ref="F59:F60" si="39">IF(D59*$H$3&gt;=$L$54,$L$54,IF(D59*$H$3&lt;=K59,K59,D59*$H$3))</f>
        <v>1657.8000000000002</v>
      </c>
      <c r="G59" s="7">
        <f t="shared" ref="G59:G60" si="40">IF(C59*$H$4&gt;=$L$54,$L$54,IF(C59*$H$4&lt;=J59,J59,C59*$H$4))</f>
        <v>1438</v>
      </c>
      <c r="H59" s="7">
        <f t="shared" ref="H59:H60" si="41">IF(D59*$H$4&gt;=$L$54,$L$54,IF(D59*$H$4&lt;=K59,K59,D59*$H$4))</f>
        <v>1535</v>
      </c>
      <c r="J59" s="159">
        <v>632.29999999999995</v>
      </c>
      <c r="K59" s="159">
        <v>876.4</v>
      </c>
      <c r="L59" s="159"/>
    </row>
    <row r="60" spans="1:12" x14ac:dyDescent="0.25">
      <c r="A60" s="6">
        <v>33</v>
      </c>
      <c r="B60" s="6">
        <v>38</v>
      </c>
      <c r="C60" s="10">
        <v>1800</v>
      </c>
      <c r="D60" s="10">
        <v>2528</v>
      </c>
      <c r="E60" s="7">
        <f t="shared" si="38"/>
        <v>1944.0000000000002</v>
      </c>
      <c r="F60" s="7">
        <f t="shared" si="39"/>
        <v>2730.2400000000002</v>
      </c>
      <c r="G60" s="7">
        <f t="shared" si="40"/>
        <v>1800</v>
      </c>
      <c r="H60" s="7">
        <f t="shared" si="41"/>
        <v>2528</v>
      </c>
      <c r="J60" s="159">
        <v>876.4</v>
      </c>
      <c r="K60" s="159">
        <v>1331.25</v>
      </c>
      <c r="L60" s="159"/>
    </row>
    <row r="61" spans="1:12" x14ac:dyDescent="0.25">
      <c r="A61" s="6">
        <v>38</v>
      </c>
      <c r="B61" s="6"/>
      <c r="C61" s="10">
        <v>2077</v>
      </c>
      <c r="D61" s="10">
        <v>3062</v>
      </c>
      <c r="E61" s="7">
        <f>IF(C61*$H$3&gt;=$L$61,$L$61,IF(C61*$H$3&lt;=J61,J61,C61*$H$3))</f>
        <v>2243.1600000000003</v>
      </c>
      <c r="F61" s="7">
        <f>IF(D61*$H$3&gt;=$L$61,$L$61,IF(D61*$H$3&lt;=K61,K61,D61*$H$3))</f>
        <v>3306.96</v>
      </c>
      <c r="G61" s="7">
        <f>IF(C61*$H$4&gt;=$L$61,$L$61,IF(C61*$H$4&lt;=J61,J61,C61*$H$4))</f>
        <v>2077</v>
      </c>
      <c r="H61" s="7">
        <f>IF(D61*$H$4&gt;=$L$61,$L$61,IF(D61*$H$4&lt;=K61,K61,D61*$H$4))</f>
        <v>3062</v>
      </c>
      <c r="J61" s="159">
        <v>1184.79</v>
      </c>
      <c r="K61" s="159">
        <v>1752.77</v>
      </c>
      <c r="L61" s="159">
        <v>3557.48</v>
      </c>
    </row>
    <row r="62" spans="1:12" x14ac:dyDescent="0.25">
      <c r="A62" s="192" t="s">
        <v>45</v>
      </c>
      <c r="B62" s="193"/>
      <c r="C62" s="193"/>
      <c r="D62" s="193"/>
      <c r="E62" s="193"/>
      <c r="F62" s="193"/>
      <c r="G62" s="193"/>
      <c r="H62" s="193"/>
      <c r="J62" s="159"/>
      <c r="K62" s="159"/>
      <c r="L62" s="159"/>
    </row>
    <row r="63" spans="1:12" x14ac:dyDescent="0.25">
      <c r="A63" s="6">
        <v>12</v>
      </c>
      <c r="B63" s="6">
        <v>38</v>
      </c>
      <c r="C63" s="10">
        <v>1673</v>
      </c>
      <c r="D63" s="10">
        <v>1944</v>
      </c>
      <c r="E63" s="7">
        <f>IF(C63*$H$3&gt;=$L$61,$L$61,IF(C63*$H$3&lt;=J63,J63,C63*$H$3))</f>
        <v>1806.8400000000001</v>
      </c>
      <c r="F63" s="7">
        <f>IF(D63*$H$3&gt;=$L$61,$L$61,IF(D63*$H$3&lt;=K63,K63,D63*$H$3))</f>
        <v>2099.52</v>
      </c>
      <c r="G63" s="7">
        <f>IF(C63*$H$4&gt;=$L$61,$L$61,IF(C63*$H$4&lt;=J63,J63,C63*$H$4))</f>
        <v>1673</v>
      </c>
      <c r="H63" s="7">
        <f>IF(D63*$H$4&gt;=$L$61,$L$61,IF(D63*$H$4&lt;=K63,K63,D63*$H$4))</f>
        <v>1944</v>
      </c>
      <c r="J63" s="159">
        <v>697.8</v>
      </c>
      <c r="K63" s="159">
        <v>971.63</v>
      </c>
      <c r="L63" s="159">
        <v>3557.48</v>
      </c>
    </row>
    <row r="64" spans="1:12" x14ac:dyDescent="0.25">
      <c r="A64" s="6">
        <v>38</v>
      </c>
      <c r="B64" s="6"/>
      <c r="C64" s="10">
        <v>1855</v>
      </c>
      <c r="D64" s="10">
        <v>2323</v>
      </c>
      <c r="E64" s="7">
        <f>IF(C64*$H$3&gt;=$L$61,$L$61,IF(C64*$H$3&lt;=J64,J64,C64*$H$3))</f>
        <v>2003.4</v>
      </c>
      <c r="F64" s="7">
        <f>IF(D64*$H$3&gt;=$L$61,$L$61,IF(D64*$H$3&lt;=K64,K64,D64*$H$3))</f>
        <v>2508.84</v>
      </c>
      <c r="G64" s="7">
        <f>IF(C64*$H$4&gt;=$L$61,$L$61,IF(C64*$H$4&lt;=J64,J64,C64*$H$4))</f>
        <v>1855</v>
      </c>
      <c r="H64" s="7">
        <f>IF(D64*$H$4&gt;=$L$61,$L$61,IF(D64*$H$4&lt;=K64,K64,D64*$H$4))</f>
        <v>2323</v>
      </c>
      <c r="J64" s="159">
        <v>971.63</v>
      </c>
      <c r="K64" s="159">
        <v>1320.54</v>
      </c>
      <c r="L64" s="159"/>
    </row>
  </sheetData>
  <mergeCells count="24">
    <mergeCell ref="J2:L2"/>
    <mergeCell ref="A1:H1"/>
    <mergeCell ref="A53:H53"/>
    <mergeCell ref="A57:H57"/>
    <mergeCell ref="A62:H62"/>
    <mergeCell ref="B4:C4"/>
    <mergeCell ref="B9:C9"/>
    <mergeCell ref="A10:A11"/>
    <mergeCell ref="A5:A7"/>
    <mergeCell ref="B49:G49"/>
    <mergeCell ref="A50:B50"/>
    <mergeCell ref="C50:F50"/>
    <mergeCell ref="A40:H40"/>
    <mergeCell ref="A45:H45"/>
    <mergeCell ref="B13:G13"/>
    <mergeCell ref="B36:G36"/>
    <mergeCell ref="A37:B37"/>
    <mergeCell ref="J3:K3"/>
    <mergeCell ref="A14:B14"/>
    <mergeCell ref="C14:F14"/>
    <mergeCell ref="C37:F37"/>
    <mergeCell ref="A22:H22"/>
    <mergeCell ref="A17:H17"/>
    <mergeCell ref="A29:H29"/>
  </mergeCells>
  <pageMargins left="0.7" right="0.7" top="0.75" bottom="0.75" header="0.3" footer="0.3"/>
  <pageSetup paperSize="9" scale="6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91"/>
  <sheetViews>
    <sheetView topLeftCell="A4" zoomScale="70" zoomScaleNormal="70" workbookViewId="0">
      <selection activeCell="I13" sqref="I13"/>
    </sheetView>
  </sheetViews>
  <sheetFormatPr defaultRowHeight="15" x14ac:dyDescent="0.25"/>
  <cols>
    <col min="1" max="1" width="10.5703125" customWidth="1"/>
    <col min="2" max="2" width="12.5703125" customWidth="1"/>
    <col min="3" max="3" width="22.140625" customWidth="1"/>
    <col min="4" max="4" width="19.85546875" customWidth="1"/>
    <col min="5" max="5" width="22.140625" customWidth="1"/>
    <col min="6" max="6" width="20.28515625" customWidth="1"/>
    <col min="7" max="7" width="23.5703125" customWidth="1"/>
    <col min="8" max="8" width="20.28515625" customWidth="1"/>
    <col min="9" max="9" width="19.85546875" customWidth="1"/>
    <col min="10" max="10" width="21.140625" customWidth="1"/>
    <col min="11" max="11" width="17" customWidth="1"/>
    <col min="12" max="12" width="19.140625" customWidth="1"/>
  </cols>
  <sheetData>
    <row r="1" spans="2:13" ht="35.25" customHeight="1" x14ac:dyDescent="0.35">
      <c r="B1" s="195" t="s">
        <v>105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2:13" ht="23.25" x14ac:dyDescent="0.35">
      <c r="C2" s="59"/>
      <c r="D2" s="60"/>
      <c r="E2" s="60"/>
      <c r="F2" s="60"/>
      <c r="G2" s="60"/>
    </row>
    <row r="3" spans="2:13" ht="18.75" x14ac:dyDescent="0.3">
      <c r="B3" s="58"/>
      <c r="C3" s="99" t="s">
        <v>89</v>
      </c>
      <c r="D3" s="99"/>
      <c r="E3" s="60"/>
      <c r="F3" s="60"/>
      <c r="G3" s="60"/>
    </row>
    <row r="4" spans="2:13" ht="18.75" x14ac:dyDescent="0.3">
      <c r="B4" s="58"/>
      <c r="C4" s="99"/>
      <c r="D4" s="99"/>
      <c r="E4" s="60"/>
      <c r="F4" s="60"/>
      <c r="G4" s="60"/>
    </row>
    <row r="5" spans="2:13" ht="15.75" x14ac:dyDescent="0.25">
      <c r="C5" s="110" t="s">
        <v>66</v>
      </c>
    </row>
    <row r="6" spans="2:13" ht="47.25" x14ac:dyDescent="0.25">
      <c r="C6" s="111" t="s">
        <v>65</v>
      </c>
      <c r="D6" s="112" t="s">
        <v>88</v>
      </c>
      <c r="E6" s="111" t="s">
        <v>90</v>
      </c>
      <c r="F6" s="112" t="s">
        <v>91</v>
      </c>
      <c r="G6" s="111" t="s">
        <v>92</v>
      </c>
      <c r="H6" s="112" t="s">
        <v>93</v>
      </c>
      <c r="I6" s="112" t="str">
        <f>'TRANSPORT stawki'!E3</f>
        <v>proponowana stawka na 2025 r. (wzrost o 8%)</v>
      </c>
      <c r="J6" s="112" t="s">
        <v>106</v>
      </c>
      <c r="K6" s="112" t="str">
        <f>'TRANSPORT stawki'!F3</f>
        <v>proponowana stawka na 2025 r. (wzrost o ...)</v>
      </c>
      <c r="L6" s="112" t="s">
        <v>106</v>
      </c>
    </row>
    <row r="7" spans="2:13" ht="18.75" x14ac:dyDescent="0.3">
      <c r="C7" s="113" t="s">
        <v>14</v>
      </c>
      <c r="D7" s="114"/>
      <c r="E7" s="114"/>
      <c r="F7" s="114"/>
      <c r="G7" s="114"/>
      <c r="H7" s="114"/>
      <c r="I7" s="115"/>
      <c r="J7" s="115"/>
      <c r="K7" s="115"/>
      <c r="L7" s="114"/>
    </row>
    <row r="8" spans="2:13" ht="45" customHeight="1" x14ac:dyDescent="0.3">
      <c r="C8" s="97" t="s">
        <v>15</v>
      </c>
      <c r="D8" s="53">
        <v>1</v>
      </c>
      <c r="E8" s="116">
        <v>1095</v>
      </c>
      <c r="F8" s="54">
        <f t="shared" ref="F8:F13" si="0">D8*E8</f>
        <v>1095</v>
      </c>
      <c r="G8" s="118">
        <f>'TRANSPORT stawki'!L6</f>
        <v>2009.97</v>
      </c>
      <c r="H8" s="54">
        <f t="shared" ref="H8:H13" si="1">G8*D8</f>
        <v>2009.97</v>
      </c>
      <c r="I8" s="118">
        <f>'TRANSPORT stawki'!E6</f>
        <v>1182.6000000000001</v>
      </c>
      <c r="J8" s="54">
        <f t="shared" ref="J8:J13" si="2">I8*D8</f>
        <v>1182.6000000000001</v>
      </c>
      <c r="K8" s="146">
        <f>'TRANSPORT stawki'!F6</f>
        <v>1095</v>
      </c>
      <c r="L8" s="54">
        <f>D8*K8</f>
        <v>1095</v>
      </c>
    </row>
    <row r="9" spans="2:13" ht="30" customHeight="1" x14ac:dyDescent="0.3">
      <c r="C9" s="98" t="s">
        <v>17</v>
      </c>
      <c r="D9" s="53">
        <v>2</v>
      </c>
      <c r="E9" s="116">
        <v>1800</v>
      </c>
      <c r="F9" s="54">
        <f t="shared" si="0"/>
        <v>3600</v>
      </c>
      <c r="G9" s="118">
        <f>'TRANSPORT stawki'!L18</f>
        <v>4602.58</v>
      </c>
      <c r="H9" s="54">
        <f t="shared" si="1"/>
        <v>9205.16</v>
      </c>
      <c r="I9" s="118">
        <f>'TRANSPORT stawki'!E21</f>
        <v>1944.0000000000002</v>
      </c>
      <c r="J9" s="54">
        <f t="shared" si="2"/>
        <v>3888.0000000000005</v>
      </c>
      <c r="K9" s="146">
        <f>'TRANSPORT stawki'!G21</f>
        <v>1800</v>
      </c>
      <c r="L9" s="54">
        <f t="shared" ref="L9:L13" si="3">D9*K9</f>
        <v>3600</v>
      </c>
    </row>
    <row r="10" spans="2:13" ht="60.75" customHeight="1" x14ac:dyDescent="0.3">
      <c r="C10" s="98" t="s">
        <v>18</v>
      </c>
      <c r="D10" s="53">
        <v>1</v>
      </c>
      <c r="E10" s="116">
        <v>2522</v>
      </c>
      <c r="F10" s="54">
        <f t="shared" si="0"/>
        <v>2522</v>
      </c>
      <c r="G10" s="118">
        <f>'TRANSPORT stawki'!L18</f>
        <v>4602.58</v>
      </c>
      <c r="H10" s="54">
        <f t="shared" si="1"/>
        <v>4602.58</v>
      </c>
      <c r="I10" s="118">
        <f>'TRANSPORT stawki'!F21</f>
        <v>2723.76</v>
      </c>
      <c r="J10" s="54">
        <f t="shared" si="2"/>
        <v>2723.76</v>
      </c>
      <c r="K10" s="146">
        <f>'TRANSPORT stawki'!H21</f>
        <v>2522</v>
      </c>
      <c r="L10" s="54">
        <f t="shared" si="3"/>
        <v>2522</v>
      </c>
    </row>
    <row r="11" spans="2:13" ht="45" x14ac:dyDescent="0.3">
      <c r="C11" s="98" t="s">
        <v>75</v>
      </c>
      <c r="D11" s="53">
        <v>1</v>
      </c>
      <c r="E11" s="117">
        <v>2845</v>
      </c>
      <c r="F11" s="54">
        <f t="shared" si="0"/>
        <v>2845</v>
      </c>
      <c r="G11" s="118">
        <f>'TRANSPORT stawki'!L18</f>
        <v>4602.58</v>
      </c>
      <c r="H11" s="54">
        <f t="shared" si="1"/>
        <v>4602.58</v>
      </c>
      <c r="I11" s="118">
        <f>'TRANSPORT stawki'!F27</f>
        <v>3072.6000000000004</v>
      </c>
      <c r="J11" s="54">
        <f t="shared" si="2"/>
        <v>3072.6000000000004</v>
      </c>
      <c r="K11" s="146">
        <f>'TRANSPORT stawki'!H27</f>
        <v>2845</v>
      </c>
      <c r="L11" s="54">
        <f t="shared" si="3"/>
        <v>2845</v>
      </c>
    </row>
    <row r="12" spans="2:13" ht="34.5" customHeight="1" x14ac:dyDescent="0.3">
      <c r="C12" s="98" t="s">
        <v>19</v>
      </c>
      <c r="D12" s="53">
        <v>1</v>
      </c>
      <c r="E12" s="116">
        <v>2845</v>
      </c>
      <c r="F12" s="54">
        <f t="shared" si="0"/>
        <v>2845</v>
      </c>
      <c r="G12" s="118">
        <f>'TRANSPORT stawki'!L18</f>
        <v>4602.58</v>
      </c>
      <c r="H12" s="54">
        <f t="shared" si="1"/>
        <v>4602.58</v>
      </c>
      <c r="I12" s="118">
        <f>'TRANSPORT stawki'!F28</f>
        <v>3072.6000000000004</v>
      </c>
      <c r="J12" s="54">
        <f t="shared" si="2"/>
        <v>3072.6000000000004</v>
      </c>
      <c r="K12" s="146">
        <f>'TRANSPORT stawki'!H28</f>
        <v>2845</v>
      </c>
      <c r="L12" s="54">
        <f t="shared" si="3"/>
        <v>2845</v>
      </c>
    </row>
    <row r="13" spans="2:13" ht="34.5" customHeight="1" x14ac:dyDescent="0.3">
      <c r="C13" s="160" t="s">
        <v>20</v>
      </c>
      <c r="D13" s="161">
        <v>2</v>
      </c>
      <c r="E13" s="162">
        <v>4136</v>
      </c>
      <c r="F13" s="163">
        <f t="shared" si="0"/>
        <v>8272</v>
      </c>
      <c r="G13" s="164">
        <f>'TRANSPORT stawki'!L18</f>
        <v>4602.58</v>
      </c>
      <c r="H13" s="163">
        <f t="shared" si="1"/>
        <v>9205.16</v>
      </c>
      <c r="I13" s="164">
        <f>'TRANSPORT stawki'!F34</f>
        <v>4466.88</v>
      </c>
      <c r="J13" s="163">
        <f t="shared" si="2"/>
        <v>8933.76</v>
      </c>
      <c r="K13" s="164">
        <f>'TRANSPORT stawki'!H34</f>
        <v>4136</v>
      </c>
      <c r="L13" s="163">
        <f t="shared" si="3"/>
        <v>8272</v>
      </c>
    </row>
    <row r="14" spans="2:13" ht="15.75" customHeight="1" x14ac:dyDescent="0.3">
      <c r="C14" s="119" t="s">
        <v>21</v>
      </c>
      <c r="D14" s="114"/>
      <c r="E14" s="116"/>
      <c r="F14" s="115"/>
      <c r="G14" s="118"/>
      <c r="H14" s="115"/>
      <c r="I14" s="118"/>
      <c r="J14" s="115"/>
      <c r="K14" s="115"/>
      <c r="L14" s="114"/>
    </row>
    <row r="15" spans="2:13" ht="32.25" customHeight="1" x14ac:dyDescent="0.3">
      <c r="C15" s="3" t="s">
        <v>22</v>
      </c>
      <c r="D15" s="53">
        <v>13</v>
      </c>
      <c r="E15" s="116">
        <v>2558</v>
      </c>
      <c r="F15" s="54">
        <f>D15*E15</f>
        <v>33254</v>
      </c>
      <c r="G15" s="118">
        <f>'TRANSPORT stawki'!L41</f>
        <v>3557.48</v>
      </c>
      <c r="H15" s="54">
        <f>G15*D15</f>
        <v>46247.24</v>
      </c>
      <c r="I15" s="118">
        <f>'TRANSPORT stawki'!E44</f>
        <v>2762.6400000000003</v>
      </c>
      <c r="J15" s="54">
        <f>I15*D15</f>
        <v>35914.320000000007</v>
      </c>
      <c r="K15" s="146">
        <f>'TRANSPORT stawki'!G44</f>
        <v>2558</v>
      </c>
      <c r="L15" s="54">
        <f>D15*K15</f>
        <v>33254</v>
      </c>
    </row>
    <row r="16" spans="2:13" ht="18.75" x14ac:dyDescent="0.3">
      <c r="C16" s="113" t="s">
        <v>23</v>
      </c>
      <c r="D16" s="114"/>
      <c r="E16" s="116"/>
      <c r="F16" s="115"/>
      <c r="G16" s="118"/>
      <c r="H16" s="115"/>
      <c r="I16" s="118"/>
      <c r="J16" s="115"/>
      <c r="K16" s="115"/>
      <c r="L16" s="114"/>
    </row>
    <row r="17" spans="3:12" ht="32.25" customHeight="1" x14ac:dyDescent="0.3">
      <c r="C17" s="3" t="s">
        <v>25</v>
      </c>
      <c r="D17" s="53">
        <v>1</v>
      </c>
      <c r="E17" s="116">
        <v>1438</v>
      </c>
      <c r="F17" s="54">
        <f>D17*E17</f>
        <v>1438</v>
      </c>
      <c r="G17" s="118">
        <f>'TRANSPORT stawki'!L54</f>
        <v>2813.88</v>
      </c>
      <c r="H17" s="54">
        <f>G17*D17</f>
        <v>2813.88</v>
      </c>
      <c r="I17" s="118">
        <f>'TRANSPORT stawki'!E59</f>
        <v>1553.0400000000002</v>
      </c>
      <c r="J17" s="54">
        <f>I17*D17</f>
        <v>1553.0400000000002</v>
      </c>
      <c r="K17" s="146">
        <f>'TRANSPORT stawki'!G59</f>
        <v>1438</v>
      </c>
      <c r="L17" s="54">
        <f t="shared" ref="L17:L20" si="4">D17*K17</f>
        <v>1438</v>
      </c>
    </row>
    <row r="18" spans="3:12" ht="32.25" customHeight="1" x14ac:dyDescent="0.3">
      <c r="C18" s="96" t="s">
        <v>94</v>
      </c>
      <c r="D18" s="53">
        <v>1</v>
      </c>
      <c r="E18" s="116">
        <v>1944</v>
      </c>
      <c r="F18" s="54">
        <f>D18*E18</f>
        <v>1944</v>
      </c>
      <c r="G18" s="118">
        <f>'TRANSPORT stawki'!L61</f>
        <v>3557.48</v>
      </c>
      <c r="H18" s="54">
        <f>G18*D18</f>
        <v>3557.48</v>
      </c>
      <c r="I18" s="118">
        <f>'TRANSPORT stawki'!F63</f>
        <v>2099.52</v>
      </c>
      <c r="J18" s="54">
        <f>I18*D18</f>
        <v>2099.52</v>
      </c>
      <c r="K18" s="146">
        <f>'TRANSPORT stawki'!H63</f>
        <v>1944</v>
      </c>
      <c r="L18" s="54">
        <f t="shared" si="4"/>
        <v>1944</v>
      </c>
    </row>
    <row r="19" spans="3:12" ht="33" customHeight="1" x14ac:dyDescent="0.3">
      <c r="C19" s="3" t="s">
        <v>26</v>
      </c>
      <c r="D19" s="53">
        <v>6</v>
      </c>
      <c r="E19" s="116">
        <v>1855</v>
      </c>
      <c r="F19" s="54">
        <f>D19*E19</f>
        <v>11130</v>
      </c>
      <c r="G19" s="118">
        <f>'TRANSPORT stawki'!L61</f>
        <v>3557.48</v>
      </c>
      <c r="H19" s="54">
        <f>G19*D19</f>
        <v>21344.880000000001</v>
      </c>
      <c r="I19" s="118">
        <f>'TRANSPORT stawki'!E64</f>
        <v>2003.4</v>
      </c>
      <c r="J19" s="54">
        <f>I19*D19</f>
        <v>12020.400000000001</v>
      </c>
      <c r="K19" s="146">
        <f>'TRANSPORT stawki'!G64</f>
        <v>1855</v>
      </c>
      <c r="L19" s="54">
        <f t="shared" si="4"/>
        <v>11130</v>
      </c>
    </row>
    <row r="20" spans="3:12" ht="33" customHeight="1" x14ac:dyDescent="0.3">
      <c r="C20" s="3" t="s">
        <v>74</v>
      </c>
      <c r="D20" s="53">
        <v>1</v>
      </c>
      <c r="E20" s="116">
        <v>2323</v>
      </c>
      <c r="F20" s="54">
        <f>D20*E20</f>
        <v>2323</v>
      </c>
      <c r="G20" s="118">
        <f>'TRANSPORT stawki'!L61</f>
        <v>3557.48</v>
      </c>
      <c r="H20" s="54">
        <f>G20*D20</f>
        <v>3557.48</v>
      </c>
      <c r="I20" s="118">
        <f>'TRANSPORT stawki'!F64</f>
        <v>2508.84</v>
      </c>
      <c r="J20" s="54">
        <f>I20*D20</f>
        <v>2508.84</v>
      </c>
      <c r="K20" s="146">
        <f>'TRANSPORT stawki'!H64</f>
        <v>2323</v>
      </c>
      <c r="L20" s="54">
        <f t="shared" si="4"/>
        <v>2323</v>
      </c>
    </row>
    <row r="21" spans="3:12" ht="18.75" x14ac:dyDescent="0.3">
      <c r="C21" s="119" t="s">
        <v>27</v>
      </c>
      <c r="D21" s="114"/>
      <c r="E21" s="118"/>
      <c r="F21" s="115"/>
      <c r="G21" s="118"/>
      <c r="H21" s="115"/>
      <c r="I21" s="118"/>
      <c r="J21" s="115"/>
      <c r="K21" s="115"/>
      <c r="L21" s="114"/>
    </row>
    <row r="22" spans="3:12" ht="33.75" customHeight="1" x14ac:dyDescent="0.3">
      <c r="C22" s="96" t="s">
        <v>28</v>
      </c>
      <c r="D22" s="53">
        <v>1</v>
      </c>
      <c r="E22" s="118">
        <v>1191</v>
      </c>
      <c r="F22" s="54">
        <f>D22*E22</f>
        <v>1191</v>
      </c>
      <c r="G22" s="118">
        <f>'TRANSPORT stawki'!L11</f>
        <v>3600.69</v>
      </c>
      <c r="H22" s="54">
        <f>G22*D22</f>
        <v>3600.69</v>
      </c>
      <c r="I22" s="118">
        <f>'TRANSPORT stawki'!E11</f>
        <v>1286.28</v>
      </c>
      <c r="J22" s="54">
        <f>I22*D22</f>
        <v>1286.28</v>
      </c>
      <c r="K22" s="146">
        <f>'TRANSPORT stawki'!F11</f>
        <v>1191</v>
      </c>
      <c r="L22" s="54">
        <f>D22*K22</f>
        <v>1191</v>
      </c>
    </row>
    <row r="23" spans="3:12" ht="18.75" x14ac:dyDescent="0.3">
      <c r="D23" s="55"/>
      <c r="E23" s="55"/>
      <c r="F23" s="55"/>
      <c r="G23" s="55"/>
      <c r="H23" s="55"/>
      <c r="I23" s="55"/>
      <c r="J23" s="55"/>
      <c r="K23" s="55"/>
      <c r="L23" s="55"/>
    </row>
    <row r="24" spans="3:12" ht="18.75" x14ac:dyDescent="0.3">
      <c r="C24" s="2" t="s">
        <v>10</v>
      </c>
      <c r="D24" s="56">
        <f>D8+D9+D10+D11+D12+D13+D15+D17+D18+D19+D20+D22</f>
        <v>31</v>
      </c>
      <c r="E24" s="56"/>
      <c r="F24" s="57">
        <f>SUM(F8:F22)</f>
        <v>72459</v>
      </c>
      <c r="G24" s="56"/>
      <c r="H24" s="57">
        <f>SUM(H8:H22)</f>
        <v>115349.68</v>
      </c>
      <c r="I24" s="53"/>
      <c r="J24" s="57">
        <f>SUM(J8:J22)</f>
        <v>78255.72</v>
      </c>
      <c r="K24" s="57"/>
      <c r="L24" s="57">
        <f>SUM(L8:L22)</f>
        <v>72459</v>
      </c>
    </row>
    <row r="25" spans="3:12" ht="18.75" x14ac:dyDescent="0.3">
      <c r="D25" s="55"/>
      <c r="E25" s="55"/>
      <c r="F25" s="55"/>
      <c r="G25" s="55"/>
      <c r="H25" s="55"/>
      <c r="I25" s="55"/>
      <c r="J25" s="55"/>
      <c r="K25" s="55"/>
      <c r="L25" s="55"/>
    </row>
    <row r="26" spans="3:12" ht="18.75" x14ac:dyDescent="0.3">
      <c r="D26" s="55"/>
      <c r="E26" s="55"/>
      <c r="F26" s="55"/>
      <c r="G26" s="55"/>
      <c r="H26" s="55"/>
      <c r="I26" s="55"/>
      <c r="J26" s="100" t="s">
        <v>68</v>
      </c>
      <c r="K26" s="101">
        <f>J24-F24</f>
        <v>5796.7200000000012</v>
      </c>
      <c r="L26" s="148">
        <f>L24-F24</f>
        <v>0</v>
      </c>
    </row>
    <row r="27" spans="3:12" ht="18.75" x14ac:dyDescent="0.3">
      <c r="C27" s="109" t="s">
        <v>67</v>
      </c>
      <c r="D27" s="55"/>
      <c r="E27" s="55"/>
      <c r="F27" s="55"/>
      <c r="G27" s="55"/>
      <c r="H27" s="55"/>
      <c r="I27" s="55"/>
      <c r="J27" s="55"/>
      <c r="K27" s="55"/>
      <c r="L27" s="55"/>
    </row>
    <row r="28" spans="3:12" ht="87" customHeight="1" x14ac:dyDescent="0.25">
      <c r="C28" s="104" t="str">
        <f t="shared" ref="C28:L28" si="5">C6</f>
        <v>TRANSPORT - fizyczne</v>
      </c>
      <c r="D28" s="104" t="str">
        <f t="shared" si="5"/>
        <v>ilość pojazdów w ewidencji na dzień 27.09.2024</v>
      </c>
      <c r="E28" s="104" t="str">
        <f t="shared" si="5"/>
        <v>stawka 2024</v>
      </c>
      <c r="F28" s="104" t="str">
        <f t="shared" si="5"/>
        <v>przewidywany dochód na 2024</v>
      </c>
      <c r="G28" s="104" t="str">
        <f t="shared" si="5"/>
        <v>stawka max na 2025</v>
      </c>
      <c r="H28" s="104" t="str">
        <f t="shared" si="5"/>
        <v>przewidywany dochód po stawce max na 2025</v>
      </c>
      <c r="I28" s="104" t="str">
        <f t="shared" si="5"/>
        <v>proponowana stawka na 2025 r. (wzrost o 8%)</v>
      </c>
      <c r="J28" s="104" t="str">
        <f t="shared" si="5"/>
        <v>dochód po zwiększeniu</v>
      </c>
      <c r="K28" s="104" t="str">
        <f t="shared" si="5"/>
        <v>proponowana stawka na 2025 r. (wzrost o ...)</v>
      </c>
      <c r="L28" s="104" t="str">
        <f t="shared" si="5"/>
        <v>dochód po zwiększeniu</v>
      </c>
    </row>
    <row r="29" spans="3:12" ht="18.75" x14ac:dyDescent="0.3">
      <c r="C29" s="105" t="s">
        <v>14</v>
      </c>
      <c r="D29" s="106"/>
      <c r="E29" s="106"/>
      <c r="F29" s="106"/>
      <c r="G29" s="106"/>
      <c r="H29" s="106"/>
      <c r="I29" s="107"/>
      <c r="J29" s="107"/>
      <c r="K29" s="107"/>
      <c r="L29" s="106"/>
    </row>
    <row r="30" spans="3:12" ht="18.75" x14ac:dyDescent="0.25">
      <c r="C30" s="1" t="s">
        <v>15</v>
      </c>
      <c r="D30" s="157">
        <v>1</v>
      </c>
      <c r="E30" s="46">
        <v>1095</v>
      </c>
      <c r="F30" s="20">
        <f>E30*D30</f>
        <v>1095</v>
      </c>
      <c r="G30" s="46">
        <f>'TRANSPORT stawki'!L6</f>
        <v>2009.97</v>
      </c>
      <c r="H30" s="20">
        <f>G30*D30</f>
        <v>2009.97</v>
      </c>
      <c r="I30" s="46">
        <f>'TRANSPORT stawki'!E6</f>
        <v>1182.6000000000001</v>
      </c>
      <c r="J30" s="20">
        <f>I30*D30</f>
        <v>1182.6000000000001</v>
      </c>
      <c r="K30" s="147">
        <f>'TRANSPORT stawki'!F6</f>
        <v>1095</v>
      </c>
      <c r="L30" s="20">
        <f>D30*K30</f>
        <v>1095</v>
      </c>
    </row>
    <row r="31" spans="3:12" ht="18.75" x14ac:dyDescent="0.25">
      <c r="C31" s="1" t="s">
        <v>16</v>
      </c>
      <c r="D31" s="157">
        <v>1</v>
      </c>
      <c r="E31" s="46">
        <v>1438</v>
      </c>
      <c r="F31" s="20">
        <f>E31*D31</f>
        <v>1438</v>
      </c>
      <c r="G31" s="46">
        <f>'TRANSPORT stawki'!L7</f>
        <v>2411.94</v>
      </c>
      <c r="H31" s="20">
        <f>G31*D31</f>
        <v>2411.94</v>
      </c>
      <c r="I31" s="46">
        <f>'TRANSPORT stawki'!E7</f>
        <v>1553.0400000000002</v>
      </c>
      <c r="J31" s="20">
        <f>I31*D31</f>
        <v>1553.0400000000002</v>
      </c>
      <c r="K31" s="147">
        <f>'TRANSPORT stawki'!F7</f>
        <v>1438</v>
      </c>
      <c r="L31" s="20">
        <f t="shared" ref="L31:L33" si="6">D31*K31</f>
        <v>1438</v>
      </c>
    </row>
    <row r="32" spans="3:12" ht="30" x14ac:dyDescent="0.25">
      <c r="C32" s="3" t="s">
        <v>95</v>
      </c>
      <c r="D32" s="157">
        <v>1</v>
      </c>
      <c r="E32" s="46">
        <v>2845</v>
      </c>
      <c r="F32" s="20"/>
      <c r="G32" s="46">
        <f>'TRANSPORT stawki'!L18</f>
        <v>4602.58</v>
      </c>
      <c r="H32" s="20"/>
      <c r="I32" s="46">
        <f>'TRANSPORT stawki'!F28</f>
        <v>3072.6000000000004</v>
      </c>
      <c r="J32" s="20"/>
      <c r="K32" s="147">
        <f>'TRANSPORT stawki'!H28</f>
        <v>2845</v>
      </c>
      <c r="L32" s="20"/>
    </row>
    <row r="33" spans="3:12" ht="30" x14ac:dyDescent="0.25">
      <c r="C33" s="98" t="s">
        <v>76</v>
      </c>
      <c r="D33" s="157">
        <v>1</v>
      </c>
      <c r="E33" s="46">
        <v>1980</v>
      </c>
      <c r="F33" s="20">
        <f>E33*D33</f>
        <v>1980</v>
      </c>
      <c r="G33" s="46">
        <f>'TRANSPORT stawki'!L18</f>
        <v>4602.58</v>
      </c>
      <c r="H33" s="20">
        <f>G33*D33</f>
        <v>4602.58</v>
      </c>
      <c r="I33" s="46">
        <f>'TRANSPORT stawki'!E28</f>
        <v>2138.4</v>
      </c>
      <c r="J33" s="20">
        <f>I33*D33</f>
        <v>2138.4</v>
      </c>
      <c r="K33" s="147">
        <f>'TRANSPORT stawki'!G28</f>
        <v>1980</v>
      </c>
      <c r="L33" s="20">
        <f t="shared" si="6"/>
        <v>1980</v>
      </c>
    </row>
    <row r="34" spans="3:12" ht="18.75" x14ac:dyDescent="0.25">
      <c r="C34" s="105" t="s">
        <v>23</v>
      </c>
      <c r="D34" s="47"/>
      <c r="E34" s="46"/>
      <c r="F34" s="45"/>
      <c r="G34" s="46"/>
      <c r="H34" s="45"/>
      <c r="I34" s="46"/>
      <c r="J34" s="45"/>
      <c r="K34" s="45"/>
      <c r="L34" s="47"/>
    </row>
    <row r="35" spans="3:12" ht="18.75" x14ac:dyDescent="0.25">
      <c r="C35" s="3" t="s">
        <v>29</v>
      </c>
      <c r="D35" s="157">
        <v>1</v>
      </c>
      <c r="E35" s="46">
        <v>542</v>
      </c>
      <c r="F35" s="20">
        <f>E35*D35</f>
        <v>542</v>
      </c>
      <c r="G35" s="46">
        <f>'TRANSPORT stawki'!L9</f>
        <v>2411.94</v>
      </c>
      <c r="H35" s="20">
        <f>G35*D35</f>
        <v>2411.94</v>
      </c>
      <c r="I35" s="46">
        <f>'TRANSPORT stawki'!E9</f>
        <v>585.36</v>
      </c>
      <c r="J35" s="20">
        <f>I35*D35</f>
        <v>585.36</v>
      </c>
      <c r="K35" s="147">
        <f>'TRANSPORT stawki'!F9</f>
        <v>542</v>
      </c>
      <c r="L35" s="20">
        <f>D35*K35</f>
        <v>542</v>
      </c>
    </row>
    <row r="36" spans="3:12" ht="30" x14ac:dyDescent="0.25">
      <c r="C36" s="3" t="s">
        <v>24</v>
      </c>
      <c r="D36" s="157">
        <v>3</v>
      </c>
      <c r="E36" s="46">
        <v>1258</v>
      </c>
      <c r="F36" s="20">
        <f>E36*D36</f>
        <v>3774</v>
      </c>
      <c r="G36" s="46">
        <f>'TRANSPORT stawki'!L54</f>
        <v>2813.88</v>
      </c>
      <c r="H36" s="20">
        <f>G36*D36</f>
        <v>8441.64</v>
      </c>
      <c r="I36" s="46">
        <f>'TRANSPORT stawki'!E58</f>
        <v>1358.64</v>
      </c>
      <c r="J36" s="20">
        <f>I36*D36</f>
        <v>4075.92</v>
      </c>
      <c r="K36" s="147">
        <f>'TRANSPORT stawki'!G58</f>
        <v>1258</v>
      </c>
      <c r="L36" s="20">
        <f>D36*K36</f>
        <v>3774</v>
      </c>
    </row>
    <row r="37" spans="3:12" ht="18.75" x14ac:dyDescent="0.25">
      <c r="C37" s="108" t="s">
        <v>21</v>
      </c>
      <c r="D37" s="47"/>
      <c r="E37" s="46"/>
      <c r="F37" s="45"/>
      <c r="G37" s="46"/>
      <c r="H37" s="45"/>
      <c r="I37" s="46"/>
      <c r="J37" s="45"/>
      <c r="K37" s="45"/>
      <c r="L37" s="47"/>
    </row>
    <row r="38" spans="3:12" ht="30" customHeight="1" x14ac:dyDescent="0.25">
      <c r="C38" s="3" t="s">
        <v>69</v>
      </c>
      <c r="D38" s="157">
        <v>1</v>
      </c>
      <c r="E38" s="46">
        <v>2558</v>
      </c>
      <c r="F38" s="20">
        <f>E38*D38</f>
        <v>2558</v>
      </c>
      <c r="G38" s="46">
        <f>'TRANSPORT stawki'!L41</f>
        <v>3557.48</v>
      </c>
      <c r="H38" s="20">
        <f>G38*D38</f>
        <v>3557.48</v>
      </c>
      <c r="I38" s="46">
        <f>'TRANSPORT stawki'!E44</f>
        <v>2762.6400000000003</v>
      </c>
      <c r="J38" s="20">
        <f>I38*D38</f>
        <v>2762.6400000000003</v>
      </c>
      <c r="K38" s="147">
        <f>'TRANSPORT stawki'!G44</f>
        <v>2558</v>
      </c>
      <c r="L38" s="20">
        <f>D38*K38</f>
        <v>2558</v>
      </c>
    </row>
    <row r="39" spans="3:12" ht="18.75" x14ac:dyDescent="0.25">
      <c r="C39" s="108" t="s">
        <v>27</v>
      </c>
      <c r="D39" s="47"/>
      <c r="E39" s="46"/>
      <c r="F39" s="45"/>
      <c r="G39" s="46"/>
      <c r="H39" s="45"/>
      <c r="I39" s="46"/>
      <c r="J39" s="45"/>
      <c r="K39" s="45"/>
      <c r="L39" s="47"/>
    </row>
    <row r="40" spans="3:12" ht="31.5" customHeight="1" x14ac:dyDescent="0.25">
      <c r="C40" s="3" t="s">
        <v>28</v>
      </c>
      <c r="D40" s="157">
        <v>6</v>
      </c>
      <c r="E40" s="46">
        <v>1191</v>
      </c>
      <c r="F40" s="20">
        <f>E40*D40</f>
        <v>7146</v>
      </c>
      <c r="G40" s="46">
        <f>'TRANSPORT stawki'!L11</f>
        <v>3600.69</v>
      </c>
      <c r="H40" s="20">
        <f>G40*D40</f>
        <v>21604.14</v>
      </c>
      <c r="I40" s="46">
        <f>'TRANSPORT stawki'!E11</f>
        <v>1286.28</v>
      </c>
      <c r="J40" s="20">
        <f>I40*D40</f>
        <v>7717.68</v>
      </c>
      <c r="K40" s="147">
        <f>'TRANSPORT stawki'!F11</f>
        <v>1191</v>
      </c>
      <c r="L40" s="20">
        <f>D40*K40</f>
        <v>7146</v>
      </c>
    </row>
    <row r="41" spans="3:12" ht="18.75" x14ac:dyDescent="0.3">
      <c r="D41" s="55"/>
      <c r="E41" s="55"/>
      <c r="F41" s="55"/>
      <c r="G41" s="55"/>
      <c r="H41" s="55"/>
      <c r="I41" s="55"/>
      <c r="J41" s="55"/>
      <c r="K41" s="55"/>
      <c r="L41" s="55"/>
    </row>
    <row r="42" spans="3:12" ht="18.75" x14ac:dyDescent="0.3">
      <c r="C42" s="4" t="s">
        <v>10</v>
      </c>
      <c r="D42" s="56">
        <f>SUM(D30:D40)</f>
        <v>15</v>
      </c>
      <c r="E42" s="56"/>
      <c r="F42" s="57">
        <f>SUM(F30:F40)</f>
        <v>18533</v>
      </c>
      <c r="G42" s="56"/>
      <c r="H42" s="57">
        <f>SUM(H30:H40)</f>
        <v>45039.69</v>
      </c>
      <c r="I42" s="56"/>
      <c r="J42" s="57">
        <f>SUM(J30:J40)</f>
        <v>20015.64</v>
      </c>
      <c r="K42" s="57"/>
      <c r="L42" s="57">
        <f t="shared" ref="L42" si="7">SUM(L30:L40)</f>
        <v>18533</v>
      </c>
    </row>
    <row r="43" spans="3:12" ht="18.75" x14ac:dyDescent="0.3">
      <c r="D43" s="55"/>
      <c r="E43" s="55"/>
      <c r="F43" s="55"/>
      <c r="G43" s="55"/>
      <c r="H43" s="55"/>
      <c r="I43" s="55"/>
      <c r="J43" s="55"/>
      <c r="K43" s="55"/>
      <c r="L43" s="55"/>
    </row>
    <row r="44" spans="3:12" ht="18.75" x14ac:dyDescent="0.3">
      <c r="D44" s="55"/>
      <c r="E44" s="55"/>
      <c r="F44" s="55"/>
      <c r="G44" s="55"/>
      <c r="H44" s="55"/>
      <c r="I44" s="55"/>
      <c r="J44" s="102" t="s">
        <v>68</v>
      </c>
      <c r="K44" s="103">
        <f>J42-F42</f>
        <v>1482.6399999999994</v>
      </c>
      <c r="L44" s="145">
        <f>L42-F42</f>
        <v>0</v>
      </c>
    </row>
    <row r="47" spans="3:12" x14ac:dyDescent="0.25">
      <c r="L47" s="205"/>
    </row>
    <row r="63" ht="15" customHeight="1" x14ac:dyDescent="0.25"/>
    <row r="83" ht="31.5" customHeight="1" x14ac:dyDescent="0.25"/>
    <row r="85" ht="25.5" customHeight="1" x14ac:dyDescent="0.25"/>
    <row r="86" ht="28.5" customHeight="1" x14ac:dyDescent="0.25"/>
    <row r="87" ht="22.5" customHeight="1" x14ac:dyDescent="0.25"/>
    <row r="88" ht="27.75" customHeight="1" x14ac:dyDescent="0.25"/>
    <row r="89" ht="30" customHeight="1" x14ac:dyDescent="0.25"/>
    <row r="90" ht="24" customHeight="1" x14ac:dyDescent="0.25"/>
    <row r="91" ht="24.75" customHeight="1" x14ac:dyDescent="0.25"/>
  </sheetData>
  <mergeCells count="1">
    <mergeCell ref="B1:M1"/>
  </mergeCells>
  <pageMargins left="0.25" right="0.25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PODATKI</vt:lpstr>
      <vt:lpstr>TRANSPORT stawki</vt:lpstr>
      <vt:lpstr>TRANSPORT szacowany dochód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Gmina Sekowa</cp:lastModifiedBy>
  <cp:lastPrinted>2024-10-10T06:47:09Z</cp:lastPrinted>
  <dcterms:created xsi:type="dcterms:W3CDTF">2020-09-30T05:47:25Z</dcterms:created>
  <dcterms:modified xsi:type="dcterms:W3CDTF">2024-11-05T13:50:46Z</dcterms:modified>
</cp:coreProperties>
</file>